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ikuosawayama/Library/CloudStorage/Box-Box/HAD本原稿（2024年12月脱稿予定）/データセット/"/>
    </mc:Choice>
  </mc:AlternateContent>
  <xr:revisionPtr revIDLastSave="0" documentId="13_ncr:1_{29591010-DE2E-3745-B098-93DCE95E34B0}" xr6:coauthVersionLast="47" xr6:coauthVersionMax="47" xr10:uidLastSave="{00000000-0000-0000-0000-000000000000}"/>
  <bookViews>
    <workbookView xWindow="140" yWindow="660" windowWidth="25380" windowHeight="28000" xr2:uid="{88886CF4-08E0-3E41-84BD-7948DE487589}"/>
  </bookViews>
  <sheets>
    <sheet name="p.116-信頼区間" sheetId="1" r:id="rId1"/>
    <sheet name="p.130-正確二項検定" sheetId="2" r:id="rId2"/>
    <sheet name="p.152-対応のない２つの比率の差の検定" sheetId="3" r:id="rId3"/>
    <sheet name="p.162-対応のある２つの比率の差の検定" sheetId="4" r:id="rId4"/>
    <sheet name="p.170-対応のない２つの平均値の差の検定" sheetId="5" r:id="rId5"/>
    <sheet name="p.178-対応のある２つの平均値の差の検定" sheetId="6" r:id="rId6"/>
    <sheet name="p.188-１要因参加者間計画" sheetId="7" r:id="rId7"/>
    <sheet name="p.202-多重比較" sheetId="8" r:id="rId8"/>
    <sheet name="p.212-１要因参加者内計画" sheetId="9" r:id="rId9"/>
    <sheet name="p.212-２要因参加者間計画" sheetId="10" r:id="rId10"/>
    <sheet name="p.250-相関係数の検定" sheetId="11" r:id="rId11"/>
    <sheet name="p.253-単回帰分析の回帰係数の検定" sheetId="1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5" l="1"/>
  <c r="B16" i="12"/>
  <c r="B19" i="12" s="1"/>
  <c r="F10" i="12"/>
  <c r="F9" i="12"/>
  <c r="F8" i="12"/>
  <c r="F7" i="12"/>
  <c r="F6" i="12"/>
  <c r="F5" i="12"/>
  <c r="F4" i="12"/>
  <c r="F3" i="12"/>
  <c r="E4" i="12"/>
  <c r="E5" i="12"/>
  <c r="E6" i="12"/>
  <c r="E7" i="12"/>
  <c r="E8" i="12"/>
  <c r="E9" i="12"/>
  <c r="E10" i="12"/>
  <c r="E3" i="12"/>
  <c r="C13" i="12"/>
  <c r="B13" i="12"/>
  <c r="B19" i="11"/>
  <c r="B16" i="11"/>
  <c r="B13" i="11"/>
  <c r="H33" i="10"/>
  <c r="D54" i="10"/>
  <c r="C47" i="10"/>
  <c r="D48" i="10"/>
  <c r="D40" i="10"/>
  <c r="C33" i="10"/>
  <c r="D34" i="10"/>
  <c r="C26" i="10"/>
  <c r="E17" i="10"/>
  <c r="D17" i="10"/>
  <c r="C17" i="10"/>
  <c r="E16" i="10"/>
  <c r="E15" i="10"/>
  <c r="D16" i="10"/>
  <c r="C16" i="10"/>
  <c r="C39" i="10" s="1"/>
  <c r="D15" i="10"/>
  <c r="C53" i="10" s="1"/>
  <c r="C15" i="10"/>
  <c r="G10" i="10"/>
  <c r="G9" i="10"/>
  <c r="G8" i="10"/>
  <c r="G7" i="10"/>
  <c r="G6" i="10"/>
  <c r="G5" i="10"/>
  <c r="G4" i="10"/>
  <c r="G3" i="10"/>
  <c r="F17" i="8"/>
  <c r="F16" i="8"/>
  <c r="H15" i="8"/>
  <c r="F15" i="8"/>
  <c r="H14" i="8"/>
  <c r="F14" i="8"/>
  <c r="F13" i="8"/>
  <c r="F12" i="8"/>
  <c r="F11" i="8"/>
  <c r="F10" i="8"/>
  <c r="F9" i="8"/>
  <c r="F8" i="8"/>
  <c r="H7" i="8"/>
  <c r="F7" i="8"/>
  <c r="F6" i="8"/>
  <c r="H5" i="8"/>
  <c r="F5" i="8"/>
  <c r="J5" i="8" s="1"/>
  <c r="H4" i="8"/>
  <c r="J4" i="8" s="1"/>
  <c r="F4" i="8"/>
  <c r="F3" i="8"/>
  <c r="C32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4" i="7"/>
  <c r="F3" i="7"/>
  <c r="L6" i="9"/>
  <c r="K4" i="9"/>
  <c r="I7" i="9"/>
  <c r="H7" i="9"/>
  <c r="G7" i="9"/>
  <c r="I6" i="9"/>
  <c r="H6" i="9"/>
  <c r="G6" i="9"/>
  <c r="I5" i="9"/>
  <c r="H5" i="9"/>
  <c r="G5" i="9"/>
  <c r="I4" i="9"/>
  <c r="H4" i="9"/>
  <c r="G4" i="9"/>
  <c r="I3" i="9"/>
  <c r="H3" i="9"/>
  <c r="G3" i="9"/>
  <c r="G16" i="9"/>
  <c r="G15" i="9"/>
  <c r="G14" i="9"/>
  <c r="G13" i="9"/>
  <c r="G12" i="9"/>
  <c r="P3" i="9" s="1"/>
  <c r="D15" i="9"/>
  <c r="C15" i="9"/>
  <c r="O5" i="9" s="1"/>
  <c r="D14" i="9"/>
  <c r="C14" i="9"/>
  <c r="D13" i="9"/>
  <c r="C13" i="9"/>
  <c r="D12" i="9"/>
  <c r="C12" i="9"/>
  <c r="C23" i="9"/>
  <c r="C32" i="8"/>
  <c r="E25" i="8"/>
  <c r="D25" i="8"/>
  <c r="C25" i="8"/>
  <c r="E24" i="8"/>
  <c r="D24" i="8"/>
  <c r="C24" i="8"/>
  <c r="H17" i="8" s="1"/>
  <c r="E23" i="8"/>
  <c r="D23" i="8"/>
  <c r="C23" i="8"/>
  <c r="H10" i="8" s="1"/>
  <c r="E22" i="8"/>
  <c r="D22" i="8"/>
  <c r="C22" i="8"/>
  <c r="H3" i="8" s="1"/>
  <c r="E25" i="7"/>
  <c r="D25" i="7"/>
  <c r="C25" i="7"/>
  <c r="H8" i="7" s="1"/>
  <c r="J8" i="7" s="1"/>
  <c r="E24" i="7"/>
  <c r="D24" i="7"/>
  <c r="C24" i="7"/>
  <c r="E23" i="7"/>
  <c r="D23" i="7"/>
  <c r="C23" i="7"/>
  <c r="E22" i="7"/>
  <c r="D22" i="7"/>
  <c r="C22" i="7"/>
  <c r="B22" i="12" l="1"/>
  <c r="J3" i="8"/>
  <c r="J9" i="8"/>
  <c r="J11" i="8"/>
  <c r="J17" i="8"/>
  <c r="H3" i="7"/>
  <c r="L5" i="9"/>
  <c r="H4" i="7"/>
  <c r="J4" i="7" s="1"/>
  <c r="J8" i="8"/>
  <c r="H11" i="8"/>
  <c r="J15" i="8"/>
  <c r="K10" i="10"/>
  <c r="O3" i="9"/>
  <c r="H9" i="8"/>
  <c r="H16" i="8"/>
  <c r="J16" i="8" s="1"/>
  <c r="H5" i="7"/>
  <c r="J5" i="7" s="1"/>
  <c r="H8" i="8"/>
  <c r="Q3" i="9"/>
  <c r="L7" i="9"/>
  <c r="H11" i="7"/>
  <c r="J11" i="7" s="1"/>
  <c r="H12" i="8"/>
  <c r="J12" i="8" s="1"/>
  <c r="E33" i="10"/>
  <c r="L4" i="9"/>
  <c r="P5" i="9"/>
  <c r="B38" i="8"/>
  <c r="Q6" i="9"/>
  <c r="Q5" i="9"/>
  <c r="H6" i="8"/>
  <c r="C30" i="8" s="1"/>
  <c r="J10" i="8"/>
  <c r="H13" i="8"/>
  <c r="J13" i="8" s="1"/>
  <c r="J3" i="7"/>
  <c r="K7" i="9"/>
  <c r="H12" i="7"/>
  <c r="J12" i="7" s="1"/>
  <c r="H15" i="7"/>
  <c r="J15" i="7" s="1"/>
  <c r="M4" i="9"/>
  <c r="Q7" i="9"/>
  <c r="U7" i="9" s="1"/>
  <c r="T5" i="9"/>
  <c r="K3" i="9"/>
  <c r="S3" i="9" s="1"/>
  <c r="J7" i="8"/>
  <c r="J14" i="8"/>
  <c r="E53" i="10"/>
  <c r="E47" i="10"/>
  <c r="E39" i="10"/>
  <c r="K6" i="10"/>
  <c r="I5" i="10"/>
  <c r="M5" i="10" s="1"/>
  <c r="O5" i="10" s="1"/>
  <c r="K7" i="10"/>
  <c r="K8" i="10"/>
  <c r="K5" i="10"/>
  <c r="I6" i="10"/>
  <c r="I7" i="10"/>
  <c r="I8" i="10"/>
  <c r="I3" i="10"/>
  <c r="K3" i="10"/>
  <c r="I4" i="10"/>
  <c r="M4" i="10" s="1"/>
  <c r="K4" i="10"/>
  <c r="I9" i="10"/>
  <c r="K9" i="10"/>
  <c r="I10" i="10"/>
  <c r="M10" i="10" s="1"/>
  <c r="C49" i="8"/>
  <c r="C52" i="8" s="1"/>
  <c r="C56" i="8"/>
  <c r="C59" i="8" s="1"/>
  <c r="C42" i="8"/>
  <c r="C45" i="8" s="1"/>
  <c r="H13" i="7"/>
  <c r="J13" i="7" s="1"/>
  <c r="H6" i="7"/>
  <c r="J6" i="7" s="1"/>
  <c r="H16" i="7"/>
  <c r="J16" i="7" s="1"/>
  <c r="H17" i="7"/>
  <c r="J17" i="7" s="1"/>
  <c r="H10" i="7"/>
  <c r="J10" i="7" s="1"/>
  <c r="H14" i="7"/>
  <c r="J14" i="7" s="1"/>
  <c r="H7" i="7"/>
  <c r="J7" i="7" s="1"/>
  <c r="H9" i="7"/>
  <c r="J9" i="7" s="1"/>
  <c r="S4" i="9"/>
  <c r="P6" i="9"/>
  <c r="T6" i="9" s="1"/>
  <c r="O6" i="9"/>
  <c r="K5" i="9"/>
  <c r="S5" i="9" s="1"/>
  <c r="M3" i="9"/>
  <c r="U3" i="9" s="1"/>
  <c r="O4" i="9"/>
  <c r="K6" i="9"/>
  <c r="M7" i="9"/>
  <c r="P4" i="9"/>
  <c r="T4" i="9" s="1"/>
  <c r="O7" i="9"/>
  <c r="S7" i="9" s="1"/>
  <c r="M6" i="9"/>
  <c r="U6" i="9" s="1"/>
  <c r="Q4" i="9"/>
  <c r="P7" i="9"/>
  <c r="T7" i="9" s="1"/>
  <c r="L3" i="9"/>
  <c r="T3" i="9" s="1"/>
  <c r="M5" i="9"/>
  <c r="U5" i="9" s="1"/>
  <c r="J6" i="8" l="1"/>
  <c r="C31" i="7"/>
  <c r="E31" i="7" s="1"/>
  <c r="C21" i="9"/>
  <c r="E21" i="9" s="1"/>
  <c r="U4" i="9"/>
  <c r="C31" i="8"/>
  <c r="E31" i="8" s="1"/>
  <c r="M8" i="10"/>
  <c r="M7" i="10"/>
  <c r="M9" i="10"/>
  <c r="C23" i="10"/>
  <c r="O10" i="10"/>
  <c r="C22" i="10"/>
  <c r="E22" i="10" s="1"/>
  <c r="O4" i="10"/>
  <c r="O9" i="10"/>
  <c r="M3" i="10"/>
  <c r="O3" i="10"/>
  <c r="O8" i="10"/>
  <c r="O7" i="10"/>
  <c r="M6" i="10"/>
  <c r="O6" i="10" s="1"/>
  <c r="C30" i="7"/>
  <c r="S6" i="9"/>
  <c r="C22" i="9" s="1"/>
  <c r="C20" i="9"/>
  <c r="B26" i="9" s="1"/>
  <c r="E30" i="8"/>
  <c r="F30" i="8" l="1"/>
  <c r="G30" i="8" s="1"/>
  <c r="B35" i="8"/>
  <c r="E20" i="9"/>
  <c r="C25" i="10"/>
  <c r="E25" i="10" s="1"/>
  <c r="C24" i="10"/>
  <c r="H24" i="10"/>
  <c r="E24" i="10"/>
  <c r="H22" i="10"/>
  <c r="E23" i="10"/>
  <c r="E30" i="7"/>
  <c r="F30" i="7" s="1"/>
  <c r="G30" i="7" s="1"/>
  <c r="B35" i="7"/>
  <c r="E22" i="9"/>
  <c r="F20" i="9"/>
  <c r="G20" i="9" s="1"/>
  <c r="B17" i="6"/>
  <c r="C14" i="6"/>
  <c r="E7" i="6"/>
  <c r="E14" i="6" s="1"/>
  <c r="B20" i="6" s="1"/>
  <c r="E6" i="6"/>
  <c r="E5" i="6"/>
  <c r="E4" i="6"/>
  <c r="E3" i="6"/>
  <c r="E13" i="6"/>
  <c r="D13" i="6"/>
  <c r="C13" i="6"/>
  <c r="E12" i="6"/>
  <c r="D12" i="6"/>
  <c r="C12" i="6"/>
  <c r="B21" i="5"/>
  <c r="E18" i="5"/>
  <c r="E17" i="5"/>
  <c r="B24" i="5" s="1"/>
  <c r="D18" i="5"/>
  <c r="D17" i="5"/>
  <c r="C18" i="5"/>
  <c r="B33" i="5" l="1"/>
  <c r="B29" i="6"/>
  <c r="E34" i="10"/>
  <c r="E54" i="10"/>
  <c r="E40" i="10"/>
  <c r="E48" i="10"/>
  <c r="F39" i="10"/>
  <c r="G39" i="10" s="1"/>
  <c r="F47" i="10"/>
  <c r="G47" i="10" s="1"/>
  <c r="F53" i="10"/>
  <c r="G53" i="10" s="1"/>
  <c r="D14" i="6"/>
  <c r="C40" i="10"/>
  <c r="H39" i="10" s="1"/>
  <c r="C34" i="10"/>
  <c r="C54" i="10"/>
  <c r="H53" i="10" s="1"/>
  <c r="C48" i="10"/>
  <c r="H47" i="10" s="1"/>
  <c r="H23" i="10"/>
  <c r="F22" i="10"/>
  <c r="G22" i="10" s="1"/>
  <c r="F33" i="10"/>
  <c r="G33" i="10" s="1"/>
  <c r="F23" i="10"/>
  <c r="G23" i="10" s="1"/>
  <c r="F24" i="10"/>
  <c r="G24" i="10" s="1"/>
  <c r="B23" i="6"/>
  <c r="B26" i="6" s="1"/>
  <c r="C25" i="4"/>
  <c r="C24" i="4"/>
  <c r="C23" i="4"/>
  <c r="C22" i="4"/>
  <c r="C21" i="4"/>
  <c r="C20" i="4"/>
  <c r="C19" i="4"/>
  <c r="C18" i="4"/>
  <c r="G17" i="4"/>
  <c r="C17" i="4"/>
  <c r="C16" i="4"/>
  <c r="C15" i="4"/>
  <c r="D10" i="4"/>
  <c r="C10" i="4"/>
  <c r="D6" i="4"/>
  <c r="C6" i="4"/>
  <c r="E5" i="4"/>
  <c r="K5" i="4" s="1"/>
  <c r="E4" i="4"/>
  <c r="C12" i="3"/>
  <c r="D6" i="3"/>
  <c r="D12" i="3" s="1"/>
  <c r="C6" i="3"/>
  <c r="E5" i="3"/>
  <c r="J5" i="3" s="1"/>
  <c r="E4" i="3"/>
  <c r="K4" i="3" s="1"/>
  <c r="K5" i="3" l="1"/>
  <c r="E6" i="3"/>
  <c r="E12" i="3" s="1"/>
  <c r="J4" i="3"/>
  <c r="E11" i="3"/>
  <c r="I4" i="3"/>
  <c r="I5" i="3"/>
  <c r="E10" i="3"/>
  <c r="B27" i="5"/>
  <c r="B30" i="5" s="1"/>
  <c r="E6" i="4"/>
  <c r="I4" i="4" s="1"/>
  <c r="K4" i="4"/>
  <c r="C11" i="3" l="1"/>
  <c r="C17" i="3" s="1"/>
  <c r="D11" i="3"/>
  <c r="D17" i="3" s="1"/>
  <c r="D10" i="3"/>
  <c r="D16" i="3" s="1"/>
  <c r="C10" i="3"/>
  <c r="C16" i="3" s="1"/>
  <c r="B20" i="3" s="1"/>
  <c r="B23" i="3" s="1"/>
  <c r="J4" i="4"/>
  <c r="J5" i="4"/>
  <c r="I5" i="4"/>
  <c r="C20" i="1" l="1"/>
  <c r="C21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I4" i="1"/>
  <c r="H4" i="1"/>
  <c r="C9" i="1" l="1"/>
  <c r="C10" i="1"/>
  <c r="F10" i="2"/>
  <c r="F11" i="2"/>
  <c r="F12" i="2"/>
  <c r="F13" i="2"/>
  <c r="F14" i="2"/>
  <c r="F15" i="2"/>
  <c r="F16" i="2"/>
  <c r="F17" i="2"/>
  <c r="F18" i="2"/>
  <c r="F19" i="2"/>
  <c r="F9" i="2"/>
  <c r="J11" i="2" s="1"/>
  <c r="F4" i="2"/>
  <c r="F5" i="2"/>
  <c r="G5" i="2" l="1"/>
  <c r="C14" i="1"/>
  <c r="C15" i="1"/>
  <c r="G4" i="2"/>
  <c r="C19" i="1" l="1"/>
  <c r="C25" i="1" l="1"/>
  <c r="C24" i="1"/>
</calcChain>
</file>

<file path=xl/sharedStrings.xml><?xml version="1.0" encoding="utf-8"?>
<sst xmlns="http://schemas.openxmlformats.org/spreadsheetml/2006/main" count="385" uniqueCount="138">
  <si>
    <t>☆</t>
    <phoneticPr fontId="2"/>
  </si>
  <si>
    <t>ネコ派</t>
    <rPh sb="2" eb="3">
      <t>ハ</t>
    </rPh>
    <phoneticPr fontId="2"/>
  </si>
  <si>
    <t>p</t>
    <phoneticPr fontId="2"/>
  </si>
  <si>
    <t>→</t>
    <phoneticPr fontId="2"/>
  </si>
  <si>
    <t>★</t>
    <phoneticPr fontId="2"/>
  </si>
  <si>
    <t>犬派</t>
    <rPh sb="0" eb="2">
      <t>イヌハ</t>
    </rPh>
    <phoneticPr fontId="2"/>
  </si>
  <si>
    <t>今回以上に帰無仮説に整合的ではない標本に☆（両側検定の場合）</t>
    <rPh sb="0" eb="2">
      <t>コンカイ</t>
    </rPh>
    <rPh sb="2" eb="4">
      <t>イジョウ</t>
    </rPh>
    <rPh sb="5" eb="9">
      <t>キムカセツ</t>
    </rPh>
    <rPh sb="10" eb="13">
      <t>セイゴウテキ</t>
    </rPh>
    <rPh sb="17" eb="19">
      <t>ヒョウホン</t>
    </rPh>
    <rPh sb="22" eb="26">
      <t>リョウガワケンテイ</t>
    </rPh>
    <rPh sb="27" eb="29">
      <t>バアイ</t>
    </rPh>
    <phoneticPr fontId="2"/>
  </si>
  <si>
    <t>今回の標本に★</t>
    <rPh sb="0" eb="2">
      <t>コンカイ</t>
    </rPh>
    <rPh sb="3" eb="5">
      <t>ヒョウホン</t>
    </rPh>
    <phoneticPr fontId="2"/>
  </si>
  <si>
    <t>確率</t>
    <rPh sb="0" eb="2">
      <t>カクリツ</t>
    </rPh>
    <phoneticPr fontId="2"/>
  </si>
  <si>
    <t>犬派の人数</t>
    <rPh sb="0" eb="2">
      <t>イヌハ</t>
    </rPh>
    <rPh sb="3" eb="5">
      <t>ニンズウ</t>
    </rPh>
    <phoneticPr fontId="2"/>
  </si>
  <si>
    <t>標本比率</t>
    <rPh sb="0" eb="2">
      <t>ヒョウホン</t>
    </rPh>
    <rPh sb="2" eb="4">
      <t>ヒリツ</t>
    </rPh>
    <phoneticPr fontId="2"/>
  </si>
  <si>
    <t>観測度数</t>
    <rPh sb="0" eb="4">
      <t>カンソクドスウ</t>
    </rPh>
    <phoneticPr fontId="2"/>
  </si>
  <si>
    <t>id</t>
    <phoneticPr fontId="2"/>
  </si>
  <si>
    <t>おこづかい</t>
    <phoneticPr fontId="2"/>
  </si>
  <si>
    <t>不偏分散</t>
    <rPh sb="0" eb="4">
      <t xml:space="preserve">フヘンブンサン </t>
    </rPh>
    <phoneticPr fontId="2"/>
  </si>
  <si>
    <t>標本平均</t>
    <rPh sb="0" eb="4">
      <t xml:space="preserve">ヒョウホンヘイキン </t>
    </rPh>
    <phoneticPr fontId="2"/>
  </si>
  <si>
    <t>自由度</t>
  </si>
  <si>
    <t>自由度</t>
    <rPh sb="0" eb="3">
      <t xml:space="preserve">ジユウド </t>
    </rPh>
    <phoneticPr fontId="2"/>
  </si>
  <si>
    <t>95%信頼区間</t>
    <rPh sb="3" eb="7">
      <t>シンライｋ</t>
    </rPh>
    <phoneticPr fontId="2"/>
  </si>
  <si>
    <t>99％信頼区間</t>
    <rPh sb="3" eb="7">
      <t>シｎ</t>
    </rPh>
    <phoneticPr fontId="2"/>
  </si>
  <si>
    <t>サンプルサイズ</t>
    <phoneticPr fontId="2"/>
  </si>
  <si>
    <t>95%信頼区間上限値</t>
    <rPh sb="3" eb="7">
      <t xml:space="preserve">シンライクカン </t>
    </rPh>
    <rPh sb="7" eb="10">
      <t xml:space="preserve">ジョウゲンチ </t>
    </rPh>
    <phoneticPr fontId="2"/>
  </si>
  <si>
    <t>95%信頼区間下限値</t>
    <rPh sb="3" eb="7">
      <t xml:space="preserve">シンライクカン </t>
    </rPh>
    <rPh sb="7" eb="10">
      <t xml:space="preserve">カゲンチ </t>
    </rPh>
    <phoneticPr fontId="2"/>
  </si>
  <si>
    <t>p.116の計算</t>
    <rPh sb="6" eb="8">
      <t xml:space="preserve">ケイサン </t>
    </rPh>
    <phoneticPr fontId="2"/>
  </si>
  <si>
    <t>※SUMIF関数で，左の表の☆に対応する確率を全て足しています（p.142の４行目の計算式に対応）。</t>
    <rPh sb="6" eb="8">
      <t xml:space="preserve">カンスウ </t>
    </rPh>
    <rPh sb="10" eb="11">
      <t xml:space="preserve">ヒダリ </t>
    </rPh>
    <rPh sb="12" eb="13">
      <t xml:space="preserve">ヒョウ </t>
    </rPh>
    <rPh sb="16" eb="18">
      <t xml:space="preserve">タイオウ </t>
    </rPh>
    <rPh sb="20" eb="22">
      <t xml:space="preserve">カクリツ </t>
    </rPh>
    <rPh sb="23" eb="24">
      <t xml:space="preserve">スベテ </t>
    </rPh>
    <rPh sb="25" eb="26">
      <t xml:space="preserve">タシテイマス </t>
    </rPh>
    <rPh sb="39" eb="41">
      <t xml:space="preserve">ギョウメ </t>
    </rPh>
    <rPh sb="42" eb="45">
      <t xml:space="preserve">ケイサンシキ </t>
    </rPh>
    <rPh sb="46" eb="48">
      <t xml:space="preserve">タイオウ </t>
    </rPh>
    <phoneticPr fontId="2"/>
  </si>
  <si>
    <t>クロス集計表（観測度数）</t>
  </si>
  <si>
    <t>（参考）行ごとの比率</t>
  </si>
  <si>
    <t>犬派</t>
  </si>
  <si>
    <t>ネコ派</t>
  </si>
  <si>
    <t>計</t>
  </si>
  <si>
    <t>帰無仮説が正しいときに最も期待される度数（期待度数）</t>
  </si>
  <si>
    <t>(観測度数-期待度数)^2/期待度数</t>
  </si>
  <si>
    <t>関西</t>
    <rPh sb="0" eb="2">
      <t xml:space="preserve">カンサイ </t>
    </rPh>
    <phoneticPr fontId="2"/>
  </si>
  <si>
    <t>関東</t>
    <rPh sb="0" eb="2">
      <t xml:space="preserve">カントウ </t>
    </rPh>
    <phoneticPr fontId="2"/>
  </si>
  <si>
    <t>視聴後犬派</t>
    <rPh sb="0" eb="3">
      <t xml:space="preserve">シチョウゴ </t>
    </rPh>
    <phoneticPr fontId="2"/>
  </si>
  <si>
    <t>視聴後ネコ派</t>
    <rPh sb="0" eb="3">
      <t>シ</t>
    </rPh>
    <phoneticPr fontId="2"/>
  </si>
  <si>
    <t>視聴前犬派</t>
    <rPh sb="0" eb="3">
      <t xml:space="preserve">シチョウマエ </t>
    </rPh>
    <rPh sb="3" eb="5">
      <t xml:space="preserve">イヌハ </t>
    </rPh>
    <phoneticPr fontId="2"/>
  </si>
  <si>
    <t>視聴前ネコ派</t>
    <rPh sb="0" eb="1">
      <t xml:space="preserve">シチョウマエ </t>
    </rPh>
    <phoneticPr fontId="2"/>
  </si>
  <si>
    <t>視聴前</t>
    <rPh sb="0" eb="1">
      <t>シ</t>
    </rPh>
    <phoneticPr fontId="2"/>
  </si>
  <si>
    <t>視聴後</t>
    <rPh sb="0" eb="1">
      <t xml:space="preserve">シチョウゴ </t>
    </rPh>
    <phoneticPr fontId="2"/>
  </si>
  <si>
    <t>犬派→ネコ派</t>
    <rPh sb="0" eb="2">
      <t xml:space="preserve">イヌハ </t>
    </rPh>
    <phoneticPr fontId="2"/>
  </si>
  <si>
    <t>ネコ派→犬派</t>
    <rPh sb="4" eb="6">
      <t xml:space="preserve">イヌハ </t>
    </rPh>
    <phoneticPr fontId="2"/>
  </si>
  <si>
    <r>
      <rPr>
        <i/>
        <sz val="11"/>
        <rFont val="ＭＳ Ｐゴシック"/>
        <family val="2"/>
        <charset val="128"/>
      </rPr>
      <t>p</t>
    </r>
    <r>
      <rPr>
        <sz val="11"/>
        <rFont val="ＭＳ Ｐゴシック"/>
        <family val="2"/>
        <charset val="128"/>
      </rPr>
      <t>値</t>
    </r>
    <rPh sb="1" eb="2">
      <t xml:space="preserve">チ </t>
    </rPh>
    <phoneticPr fontId="2"/>
  </si>
  <si>
    <r>
      <t>今回の標本から計算されるカイ二乗</t>
    </r>
    <r>
      <rPr>
        <sz val="11"/>
        <color rgb="FF000000"/>
        <rFont val="ＭＳ Ｐゴシック"/>
        <family val="2"/>
        <charset val="128"/>
      </rPr>
      <t>統計量の値</t>
    </r>
  </si>
  <si>
    <r>
      <rPr>
        <i/>
        <sz val="11"/>
        <color theme="1"/>
        <rFont val="ＭＳ Ｐゴシック"/>
        <family val="2"/>
        <charset val="128"/>
      </rPr>
      <t>n</t>
    </r>
    <r>
      <rPr>
        <sz val="11"/>
        <color theme="1"/>
        <rFont val="ＭＳ Ｐゴシック"/>
        <family val="2"/>
        <charset val="128"/>
      </rPr>
      <t>=10のときの「犬派→ネコ派」の人数の標本分布（帰無仮説が正しいとき）</t>
    </r>
    <rPh sb="9" eb="11">
      <t>イヌハ</t>
    </rPh>
    <rPh sb="17" eb="19">
      <t>ニンズウ</t>
    </rPh>
    <rPh sb="20" eb="24">
      <t>ヒョウホンブンプ</t>
    </rPh>
    <rPh sb="25" eb="29">
      <t>キムカセツ</t>
    </rPh>
    <rPh sb="30" eb="31">
      <t>タダ</t>
    </rPh>
    <phoneticPr fontId="2"/>
  </si>
  <si>
    <r>
      <rPr>
        <i/>
        <sz val="11"/>
        <color theme="1"/>
        <rFont val="ＭＳ Ｐゴシック"/>
        <family val="2"/>
        <charset val="128"/>
      </rPr>
      <t>p</t>
    </r>
    <r>
      <rPr>
        <sz val="11"/>
        <color theme="1"/>
        <rFont val="ＭＳ Ｐゴシック"/>
        <family val="2"/>
        <charset val="128"/>
      </rPr>
      <t>値</t>
    </r>
    <rPh sb="1" eb="2">
      <t>アタイ</t>
    </rPh>
    <phoneticPr fontId="2"/>
  </si>
  <si>
    <r>
      <rPr>
        <i/>
        <sz val="11"/>
        <color theme="1"/>
        <rFont val="ＭＳ Ｐゴシック"/>
        <family val="2"/>
        <charset val="128"/>
      </rPr>
      <t>n</t>
    </r>
    <r>
      <rPr>
        <sz val="11"/>
        <color theme="1"/>
        <rFont val="ＭＳ Ｐゴシック"/>
        <family val="2"/>
        <charset val="128"/>
      </rPr>
      <t>=10のときの犬派の人数の標本分布（帰無仮説が正しいとき）</t>
    </r>
    <rPh sb="8" eb="10">
      <t>イヌハ</t>
    </rPh>
    <rPh sb="11" eb="13">
      <t>ニンズウ</t>
    </rPh>
    <rPh sb="14" eb="18">
      <t>ヒョウホンブンプ</t>
    </rPh>
    <rPh sb="19" eb="23">
      <t>キムカセツ</t>
    </rPh>
    <rPh sb="24" eb="25">
      <t>タダ</t>
    </rPh>
    <phoneticPr fontId="2"/>
  </si>
  <si>
    <t>p.117の計算</t>
    <rPh sb="6" eb="8">
      <t xml:space="preserve">ケイサン </t>
    </rPh>
    <phoneticPr fontId="2"/>
  </si>
  <si>
    <r>
      <t>t</t>
    </r>
    <r>
      <rPr>
        <i/>
        <vertAlign val="subscript"/>
        <sz val="11"/>
        <color theme="1"/>
        <rFont val="ＭＳ Ｐゴシック"/>
        <family val="2"/>
        <charset val="128"/>
      </rPr>
      <t>c</t>
    </r>
    <phoneticPr fontId="2"/>
  </si>
  <si>
    <t>要約統計量</t>
    <rPh sb="0" eb="5">
      <t>ヨウヤクトウケイリョウ</t>
    </rPh>
    <phoneticPr fontId="15"/>
  </si>
  <si>
    <t>標本平均</t>
    <rPh sb="0" eb="4">
      <t>ヒョウホンヘイキン</t>
    </rPh>
    <phoneticPr fontId="15"/>
  </si>
  <si>
    <t>標本分散</t>
    <rPh sb="0" eb="4">
      <t>ヒョウホンブンサン</t>
    </rPh>
    <phoneticPr fontId="15"/>
  </si>
  <si>
    <t>不偏分散</t>
    <rPh sb="0" eb="4">
      <t>フヘンブンサン</t>
    </rPh>
    <phoneticPr fontId="15"/>
  </si>
  <si>
    <t>「標本平均の差」の標準誤差（の推定値）</t>
    <rPh sb="1" eb="5">
      <t>ヒョウホンヘイキン</t>
    </rPh>
    <rPh sb="6" eb="7">
      <t>サ</t>
    </rPh>
    <rPh sb="9" eb="13">
      <t>ヒョウジュンゴサ</t>
    </rPh>
    <rPh sb="15" eb="18">
      <t>スイテイチ</t>
    </rPh>
    <phoneticPr fontId="15"/>
  </si>
  <si>
    <r>
      <t>今回の標本から計算される</t>
    </r>
    <r>
      <rPr>
        <i/>
        <sz val="11"/>
        <rFont val="Times New Roman"/>
        <family val="1"/>
      </rPr>
      <t>t</t>
    </r>
    <r>
      <rPr>
        <sz val="11"/>
        <rFont val="ＭＳ Ｐゴシック"/>
        <family val="3"/>
        <charset val="128"/>
      </rPr>
      <t>統計量の値</t>
    </r>
    <rPh sb="0" eb="2">
      <t>コンカイ</t>
    </rPh>
    <rPh sb="3" eb="5">
      <t>ヒョウホン</t>
    </rPh>
    <rPh sb="7" eb="9">
      <t>ケイサン</t>
    </rPh>
    <rPh sb="13" eb="16">
      <t>トウケイリョウ</t>
    </rPh>
    <rPh sb="17" eb="18">
      <t>アタイ</t>
    </rPh>
    <phoneticPr fontId="15"/>
  </si>
  <si>
    <t>居住地</t>
    <rPh sb="0" eb="3">
      <t xml:space="preserve">キョジュウチ </t>
    </rPh>
    <phoneticPr fontId="2"/>
  </si>
  <si>
    <t>関西</t>
    <rPh sb="0" eb="2">
      <t xml:space="preserve">カンサイ </t>
    </rPh>
    <phoneticPr fontId="15"/>
  </si>
  <si>
    <t>関東</t>
    <rPh sb="0" eb="2">
      <t xml:space="preserve">カントウ </t>
    </rPh>
    <phoneticPr fontId="15"/>
  </si>
  <si>
    <t>標本平均の差</t>
    <rPh sb="0" eb="4">
      <t>ヒョウホンヘイキン</t>
    </rPh>
    <rPh sb="5" eb="6">
      <t>サ</t>
    </rPh>
    <phoneticPr fontId="15"/>
  </si>
  <si>
    <t>※p.176の脚注6)参照</t>
    <rPh sb="7" eb="9">
      <t xml:space="preserve">キャクチュウ </t>
    </rPh>
    <rPh sb="11" eb="13">
      <t xml:space="preserve">サンショウ </t>
    </rPh>
    <phoneticPr fontId="2"/>
  </si>
  <si>
    <t>１年前</t>
    <rPh sb="1" eb="3">
      <t xml:space="preserve">ネンマエ </t>
    </rPh>
    <phoneticPr fontId="2"/>
  </si>
  <si>
    <t>現在</t>
    <rPh sb="0" eb="2">
      <t xml:space="preserve">ゲンザイ </t>
    </rPh>
    <phoneticPr fontId="2"/>
  </si>
  <si>
    <t>１年前</t>
    <rPh sb="1" eb="3">
      <t xml:space="preserve">ネンマエ </t>
    </rPh>
    <phoneticPr fontId="15"/>
  </si>
  <si>
    <t>現在</t>
    <rPh sb="0" eb="2">
      <t xml:space="preserve">ゲンザイ </t>
    </rPh>
    <phoneticPr fontId="15"/>
  </si>
  <si>
    <t>差得点（変化量）</t>
    <rPh sb="0" eb="3">
      <t xml:space="preserve">サトクテン </t>
    </rPh>
    <rPh sb="4" eb="7">
      <t xml:space="preserve">ヘンカリョウ </t>
    </rPh>
    <phoneticPr fontId="2"/>
  </si>
  <si>
    <t>差得点の標本平均</t>
    <rPh sb="0" eb="3">
      <t>サトｋ</t>
    </rPh>
    <rPh sb="4" eb="8">
      <t>ヒョウホンｈ</t>
    </rPh>
    <phoneticPr fontId="15"/>
  </si>
  <si>
    <t>「差得点の標本平均」の標準誤差（の推定値）</t>
    <rPh sb="1" eb="2">
      <t xml:space="preserve">サ </t>
    </rPh>
    <rPh sb="2" eb="4">
      <t xml:space="preserve">トクテン </t>
    </rPh>
    <rPh sb="5" eb="9">
      <t>ヒョウホンヘイキン</t>
    </rPh>
    <rPh sb="11" eb="15">
      <t>ヒョウジュンゴサ</t>
    </rPh>
    <rPh sb="17" eb="20">
      <t>スイテイチ</t>
    </rPh>
    <phoneticPr fontId="15"/>
  </si>
  <si>
    <r>
      <t>d</t>
    </r>
    <r>
      <rPr>
        <i/>
        <vertAlign val="subscript"/>
        <sz val="12"/>
        <color theme="1"/>
        <rFont val="ＭＳ Ｐゴシック"/>
        <family val="2"/>
        <charset val="128"/>
      </rPr>
      <t>D</t>
    </r>
    <phoneticPr fontId="2"/>
  </si>
  <si>
    <t>d</t>
    <phoneticPr fontId="2"/>
  </si>
  <si>
    <t>調理法</t>
    <rPh sb="0" eb="3">
      <t xml:space="preserve">チョウリホウ </t>
    </rPh>
    <phoneticPr fontId="2"/>
  </si>
  <si>
    <t>おいしさ評価</t>
    <rPh sb="4" eb="6">
      <t xml:space="preserve">ヒョウカ </t>
    </rPh>
    <phoneticPr fontId="2"/>
  </si>
  <si>
    <t>A</t>
    <phoneticPr fontId="2"/>
  </si>
  <si>
    <t>B</t>
    <phoneticPr fontId="2"/>
  </si>
  <si>
    <t>C</t>
    <phoneticPr fontId="2"/>
  </si>
  <si>
    <t>A</t>
    <phoneticPr fontId="15"/>
  </si>
  <si>
    <t>B</t>
    <phoneticPr fontId="15"/>
  </si>
  <si>
    <t>全体</t>
  </si>
  <si>
    <t>全体</t>
    <rPh sb="0" eb="2">
      <t xml:space="preserve">ゼンタイ </t>
    </rPh>
    <phoneticPr fontId="2"/>
  </si>
  <si>
    <t>不偏分散</t>
    <phoneticPr fontId="15"/>
  </si>
  <si>
    <t>（分散分析表）</t>
    <rPh sb="1" eb="5">
      <t>ブｎ</t>
    </rPh>
    <rPh sb="5" eb="6">
      <t xml:space="preserve">ヒョウ </t>
    </rPh>
    <phoneticPr fontId="2"/>
  </si>
  <si>
    <t>平方和</t>
  </si>
  <si>
    <t>平均平方</t>
  </si>
  <si>
    <t>F</t>
  </si>
  <si>
    <t>群間</t>
  </si>
  <si>
    <t>残差</t>
    <rPh sb="0" eb="2">
      <t>ザンサ</t>
    </rPh>
    <phoneticPr fontId="2"/>
  </si>
  <si>
    <t>共通母分散の推定値</t>
    <rPh sb="0" eb="5">
      <t xml:space="preserve">キョウツウボブンサン </t>
    </rPh>
    <rPh sb="6" eb="9">
      <t xml:space="preserve">スイテイチ </t>
    </rPh>
    <phoneticPr fontId="2"/>
  </si>
  <si>
    <t>「調理法A」と「調理法B」の比較</t>
    <rPh sb="1" eb="4">
      <t xml:space="preserve">チョウリホウ </t>
    </rPh>
    <rPh sb="8" eb="11">
      <t xml:space="preserve">チョウリホウ </t>
    </rPh>
    <rPh sb="14" eb="16">
      <t xml:space="preserve">ヒカク </t>
    </rPh>
    <phoneticPr fontId="2"/>
  </si>
  <si>
    <t>「調理法B」と「調理法C」の比較</t>
    <rPh sb="1" eb="4">
      <t xml:space="preserve">チョウリホウ </t>
    </rPh>
    <rPh sb="8" eb="11">
      <t xml:space="preserve">チョウリホウ </t>
    </rPh>
    <rPh sb="14" eb="16">
      <t xml:space="preserve">ヒカク </t>
    </rPh>
    <phoneticPr fontId="2"/>
  </si>
  <si>
    <t>「調理法A」と「調理法C」の比較</t>
    <rPh sb="1" eb="4">
      <t xml:space="preserve">チョウリホウ </t>
    </rPh>
    <rPh sb="8" eb="11">
      <t xml:space="preserve">チョウリホウ </t>
    </rPh>
    <rPh sb="14" eb="16">
      <t xml:space="preserve">ヒカク </t>
    </rPh>
    <phoneticPr fontId="2"/>
  </si>
  <si>
    <r>
      <t>η</t>
    </r>
    <r>
      <rPr>
        <vertAlign val="subscript"/>
        <sz val="11"/>
        <color theme="1"/>
        <rFont val="Times New Roman"/>
        <family val="1"/>
      </rPr>
      <t>p</t>
    </r>
    <r>
      <rPr>
        <vertAlign val="superscript"/>
        <sz val="11"/>
        <color theme="1"/>
        <rFont val="Times New Roman"/>
        <family val="1"/>
      </rPr>
      <t>2</t>
    </r>
    <phoneticPr fontId="2"/>
  </si>
  <si>
    <t>調理法A</t>
    <rPh sb="0" eb="3">
      <t xml:space="preserve">チョウリホウ </t>
    </rPh>
    <phoneticPr fontId="2"/>
  </si>
  <si>
    <t>調理法B</t>
    <rPh sb="0" eb="3">
      <t xml:space="preserve">チョウリホウ </t>
    </rPh>
    <phoneticPr fontId="2"/>
  </si>
  <si>
    <t>調理法C</t>
    <rPh sb="0" eb="3">
      <t xml:space="preserve">チョウリホウ </t>
    </rPh>
    <phoneticPr fontId="2"/>
  </si>
  <si>
    <t>標本平均</t>
    <rPh sb="0" eb="4">
      <t>ヒョウホンｈ</t>
    </rPh>
    <phoneticPr fontId="2"/>
  </si>
  <si>
    <t>=</t>
    <phoneticPr fontId="2"/>
  </si>
  <si>
    <t>全体平均</t>
    <rPh sb="0" eb="4">
      <t xml:space="preserve">ゼンタイヘイキン </t>
    </rPh>
    <phoneticPr fontId="2"/>
  </si>
  <si>
    <t>+</t>
    <phoneticPr fontId="2"/>
  </si>
  <si>
    <t>評価法要因による偏差</t>
    <rPh sb="0" eb="3">
      <t xml:space="preserve">ヒョウカホウ </t>
    </rPh>
    <rPh sb="3" eb="5">
      <t xml:space="preserve">ヨウイン </t>
    </rPh>
    <rPh sb="8" eb="10">
      <t xml:space="preserve">ヘンサ </t>
    </rPh>
    <phoneticPr fontId="2"/>
  </si>
  <si>
    <t>個人要因による偏差</t>
    <rPh sb="0" eb="2">
      <t xml:space="preserve">コジン </t>
    </rPh>
    <rPh sb="2" eb="4">
      <t xml:space="preserve">ヨウイン </t>
    </rPh>
    <rPh sb="7" eb="9">
      <t xml:space="preserve">ヘンサ </t>
    </rPh>
    <phoneticPr fontId="2"/>
  </si>
  <si>
    <t>残差</t>
    <rPh sb="0" eb="1">
      <t xml:space="preserve">ザンサ </t>
    </rPh>
    <rPh sb="1" eb="2">
      <t xml:space="preserve">サ </t>
    </rPh>
    <phoneticPr fontId="2"/>
  </si>
  <si>
    <t>個人要因</t>
    <rPh sb="0" eb="4">
      <t xml:space="preserve">コジンヨウイン </t>
    </rPh>
    <phoneticPr fontId="2"/>
  </si>
  <si>
    <t>全体平均</t>
    <rPh sb="0" eb="4">
      <t>ゼンタイｈ</t>
    </rPh>
    <phoneticPr fontId="2"/>
  </si>
  <si>
    <t>評価法要因</t>
    <rPh sb="0" eb="3">
      <t>ヒョウカ</t>
    </rPh>
    <rPh sb="3" eb="5">
      <t xml:space="preserve">ヨウイン </t>
    </rPh>
    <phoneticPr fontId="2"/>
  </si>
  <si>
    <t>残差</t>
    <rPh sb="0" eb="2">
      <t xml:space="preserve">ザンサ </t>
    </rPh>
    <phoneticPr fontId="2"/>
  </si>
  <si>
    <t>温度</t>
    <rPh sb="0" eb="2">
      <t xml:space="preserve">オンド </t>
    </rPh>
    <phoneticPr fontId="2"/>
  </si>
  <si>
    <t>温かい</t>
    <rPh sb="0" eb="1">
      <t xml:space="preserve">アタタカイ </t>
    </rPh>
    <phoneticPr fontId="2"/>
  </si>
  <si>
    <t>冷たい</t>
    <rPh sb="0" eb="1">
      <t xml:space="preserve">ツメタイ </t>
    </rPh>
    <phoneticPr fontId="2"/>
  </si>
  <si>
    <t>標本平均</t>
    <rPh sb="0" eb="4">
      <t>ヒョウホンヘ</t>
    </rPh>
    <phoneticPr fontId="15"/>
  </si>
  <si>
    <t>温かい</t>
    <rPh sb="0" eb="1">
      <t xml:space="preserve">アタタカイ </t>
    </rPh>
    <phoneticPr fontId="15"/>
  </si>
  <si>
    <t>冷たい</t>
    <rPh sb="0" eb="1">
      <t xml:space="preserve">ツメタイ </t>
    </rPh>
    <phoneticPr fontId="15"/>
  </si>
  <si>
    <t>調理法A</t>
    <rPh sb="0" eb="3">
      <t>チョウｒ</t>
    </rPh>
    <phoneticPr fontId="15"/>
  </si>
  <si>
    <t>調理法B</t>
    <rPh sb="0" eb="1">
      <t>チョウ</t>
    </rPh>
    <phoneticPr fontId="15"/>
  </si>
  <si>
    <t>計</t>
    <rPh sb="0" eb="1">
      <t xml:space="preserve">ケイ </t>
    </rPh>
    <phoneticPr fontId="2"/>
  </si>
  <si>
    <t>交互作用による偏差</t>
    <rPh sb="0" eb="4">
      <t xml:space="preserve">コウゴサヨウ </t>
    </rPh>
    <rPh sb="7" eb="9">
      <t xml:space="preserve">ヘンサ </t>
    </rPh>
    <phoneticPr fontId="2"/>
  </si>
  <si>
    <t>温度要因による偏差</t>
    <rPh sb="0" eb="2">
      <t xml:space="preserve">オンド </t>
    </rPh>
    <rPh sb="2" eb="4">
      <t xml:space="preserve">ヨウイン </t>
    </rPh>
    <rPh sb="7" eb="9">
      <t xml:space="preserve">ヘンサ </t>
    </rPh>
    <phoneticPr fontId="2"/>
  </si>
  <si>
    <t>調理法要因</t>
    <rPh sb="0" eb="3">
      <t>ｔｙ</t>
    </rPh>
    <rPh sb="3" eb="5">
      <t xml:space="preserve">ヨウイン </t>
    </rPh>
    <phoneticPr fontId="2"/>
  </si>
  <si>
    <t>温度要因</t>
    <rPh sb="0" eb="4">
      <t xml:space="preserve">オンドヨウイン </t>
    </rPh>
    <phoneticPr fontId="2"/>
  </si>
  <si>
    <t>交互作用</t>
    <rPh sb="0" eb="4">
      <t xml:space="preserve">コウゴサヨウ </t>
    </rPh>
    <phoneticPr fontId="2"/>
  </si>
  <si>
    <t>調理法要因</t>
    <rPh sb="0" eb="3">
      <t xml:space="preserve">チョウリホウ </t>
    </rPh>
    <rPh sb="3" eb="5">
      <t xml:space="preserve">オンドヨウイン </t>
    </rPh>
    <phoneticPr fontId="2"/>
  </si>
  <si>
    <t>調理法Aの玉子焼を評価した人における「温度要因」の単純効果（プールされた誤差項の場合）</t>
    <rPh sb="0" eb="3">
      <t xml:space="preserve">チョウリホウ </t>
    </rPh>
    <rPh sb="5" eb="7">
      <t>タマ</t>
    </rPh>
    <rPh sb="7" eb="8">
      <t xml:space="preserve">ヤキ </t>
    </rPh>
    <rPh sb="9" eb="11">
      <t xml:space="preserve">ヒョウカ </t>
    </rPh>
    <rPh sb="13" eb="14">
      <t xml:space="preserve">ヒト </t>
    </rPh>
    <rPh sb="19" eb="21">
      <t xml:space="preserve">オンド </t>
    </rPh>
    <rPh sb="21" eb="23">
      <t xml:space="preserve">ヨウイン </t>
    </rPh>
    <rPh sb="25" eb="29">
      <t xml:space="preserve">タンジュンコウカ </t>
    </rPh>
    <rPh sb="36" eb="39">
      <t>ゴサコウ</t>
    </rPh>
    <rPh sb="40" eb="42">
      <t xml:space="preserve">バアイ </t>
    </rPh>
    <phoneticPr fontId="2"/>
  </si>
  <si>
    <t>調理法Bの玉子焼を評価した人における「温度要因」の単純効果（プールされた誤差項の場合）</t>
    <rPh sb="0" eb="3">
      <t xml:space="preserve">チョウリホウ </t>
    </rPh>
    <rPh sb="9" eb="11">
      <t xml:space="preserve">オンド </t>
    </rPh>
    <rPh sb="11" eb="13">
      <t xml:space="preserve">ヨウイン </t>
    </rPh>
    <rPh sb="15" eb="19">
      <t xml:space="preserve">タンジュンコウカ </t>
    </rPh>
    <rPh sb="26" eb="29">
      <t>ゴサコウ</t>
    </rPh>
    <rPh sb="30" eb="32">
      <t xml:space="preserve">バアイ </t>
    </rPh>
    <phoneticPr fontId="2"/>
  </si>
  <si>
    <t>温かい玉子焼を評価した人における「調理法要因」の単純効果（プールされた誤差項の場合）</t>
    <rPh sb="0" eb="1">
      <t xml:space="preserve">アタタカイ </t>
    </rPh>
    <rPh sb="3" eb="5">
      <t xml:space="preserve">タマゴ </t>
    </rPh>
    <rPh sb="5" eb="6">
      <t xml:space="preserve">ヤキ </t>
    </rPh>
    <rPh sb="7" eb="10">
      <t xml:space="preserve">チョウリホウ </t>
    </rPh>
    <rPh sb="10" eb="12">
      <t xml:space="preserve">ヨウイン </t>
    </rPh>
    <rPh sb="14" eb="18">
      <t xml:space="preserve">タンジュンコウカ </t>
    </rPh>
    <rPh sb="25" eb="28">
      <t>ゴサコウ</t>
    </rPh>
    <rPh sb="29" eb="31">
      <t xml:space="preserve">バアイ </t>
    </rPh>
    <phoneticPr fontId="2"/>
  </si>
  <si>
    <t>冷たい玉子焼を評価した人における「調理法要因」の単純効果（プールされた誤差項の場合）</t>
    <rPh sb="0" eb="1">
      <t xml:space="preserve">ツメタイ </t>
    </rPh>
    <rPh sb="3" eb="5">
      <t xml:space="preserve">タマゴ </t>
    </rPh>
    <rPh sb="5" eb="6">
      <t xml:space="preserve">ヤキ </t>
    </rPh>
    <rPh sb="7" eb="10">
      <t xml:space="preserve">チョウリホウ </t>
    </rPh>
    <rPh sb="10" eb="12">
      <t xml:space="preserve">ヨウイン </t>
    </rPh>
    <rPh sb="14" eb="18">
      <t xml:space="preserve">タンジュンコウカ </t>
    </rPh>
    <rPh sb="25" eb="28">
      <t>ゴサコウ</t>
    </rPh>
    <rPh sb="29" eb="31">
      <t xml:space="preserve">バアイ </t>
    </rPh>
    <phoneticPr fontId="2"/>
  </si>
  <si>
    <t>ｘ：前日の睡眠時間</t>
    <rPh sb="2" eb="4">
      <t xml:space="preserve">ゼンジツ </t>
    </rPh>
    <rPh sb="5" eb="9">
      <t>スイミン</t>
    </rPh>
    <phoneticPr fontId="2"/>
  </si>
  <si>
    <t>ｙ：計算テストの成績</t>
    <rPh sb="2" eb="4">
      <t xml:space="preserve">ケイサンテスト </t>
    </rPh>
    <rPh sb="8" eb="10">
      <t xml:space="preserve">セイセキ </t>
    </rPh>
    <phoneticPr fontId="2"/>
  </si>
  <si>
    <t>標本相関係数</t>
    <rPh sb="0" eb="6">
      <t xml:space="preserve">ヒョウホンソウカンケイスウウ </t>
    </rPh>
    <phoneticPr fontId="2"/>
  </si>
  <si>
    <t>標本回帰係数</t>
    <rPh sb="0" eb="6">
      <t xml:space="preserve">ヒョウホンソウカンケイスウウ </t>
    </rPh>
    <phoneticPr fontId="2"/>
  </si>
  <si>
    <t>標本回帰係数の標準誤差（の推定値）</t>
    <rPh sb="0" eb="6">
      <t xml:space="preserve">ヒョウホンカイキケイスウ </t>
    </rPh>
    <rPh sb="7" eb="11">
      <t xml:space="preserve">ヒョウジュンゴサ </t>
    </rPh>
    <rPh sb="13" eb="16">
      <t xml:space="preserve">スイテイチ </t>
    </rPh>
    <phoneticPr fontId="15"/>
  </si>
  <si>
    <t>（ｘによるｙの）予測値</t>
    <rPh sb="8" eb="11">
      <t xml:space="preserve">ヨソクチ </t>
    </rPh>
    <phoneticPr fontId="2"/>
  </si>
  <si>
    <t>切片</t>
    <rPh sb="0" eb="2">
      <t xml:space="preserve">セッペンｂｎ </t>
    </rPh>
    <phoneticPr fontId="2"/>
  </si>
  <si>
    <t>※HAD18_008の単純効果の検定では，偏イータ２乗=.90と出ます（水準別誤差項を用いて計算していると推察されます）。</t>
    <rPh sb="11" eb="15">
      <t>タンジュン</t>
    </rPh>
    <rPh sb="16" eb="18">
      <t xml:space="preserve">ケンテイ </t>
    </rPh>
    <rPh sb="21" eb="22">
      <t xml:space="preserve">ヘン </t>
    </rPh>
    <rPh sb="26" eb="27">
      <t xml:space="preserve">ジョウ </t>
    </rPh>
    <rPh sb="29" eb="30">
      <t xml:space="preserve">デマス </t>
    </rPh>
    <rPh sb="33" eb="34">
      <t xml:space="preserve">アヤマリ </t>
    </rPh>
    <rPh sb="36" eb="39">
      <t xml:space="preserve">スイジュンベツ </t>
    </rPh>
    <rPh sb="39" eb="42">
      <t xml:space="preserve">ゴサコウ </t>
    </rPh>
    <rPh sb="43" eb="44">
      <t xml:space="preserve">モチイタ </t>
    </rPh>
    <rPh sb="46" eb="48">
      <t xml:space="preserve">ケイサン </t>
    </rPh>
    <rPh sb="53" eb="55">
      <t xml:space="preserve">スイサツ </t>
    </rPh>
    <phoneticPr fontId="2"/>
  </si>
  <si>
    <t>※HAD18_008の単純効果の検定では，偏イータ２乗=.20と出ます（水準別誤差項を用いて計算していると推察されます）。</t>
    <rPh sb="11" eb="15">
      <t>タンジュン</t>
    </rPh>
    <rPh sb="16" eb="18">
      <t xml:space="preserve">ケンテイ </t>
    </rPh>
    <rPh sb="21" eb="22">
      <t xml:space="preserve">ヘン </t>
    </rPh>
    <rPh sb="26" eb="27">
      <t xml:space="preserve">ジョウ </t>
    </rPh>
    <rPh sb="33" eb="34">
      <t xml:space="preserve">アヤマリ </t>
    </rPh>
    <rPh sb="36" eb="37">
      <t xml:space="preserve">オモワレマス </t>
    </rPh>
    <phoneticPr fontId="2"/>
  </si>
  <si>
    <t>※HAD18_008の単純効果の検定では，偏イータ２乗=.86と出ます（水準別誤差項を用いて計算していると推察されます）。</t>
    <rPh sb="11" eb="15">
      <t>タンジュン</t>
    </rPh>
    <rPh sb="16" eb="18">
      <t xml:space="preserve">ケンテイ </t>
    </rPh>
    <rPh sb="21" eb="22">
      <t xml:space="preserve">ヘン </t>
    </rPh>
    <rPh sb="26" eb="27">
      <t xml:space="preserve">ジョウ </t>
    </rPh>
    <rPh sb="33" eb="34">
      <t xml:space="preserve">アヤマリ </t>
    </rPh>
    <rPh sb="36" eb="37">
      <t xml:space="preserve">オモワレマス </t>
    </rPh>
    <phoneticPr fontId="2"/>
  </si>
  <si>
    <t>※=slope()は単回帰分析の回帰係数を求める関数，=intercept()は単回帰分析の切片を求める関数です。</t>
    <rPh sb="10" eb="15">
      <t>タンカ</t>
    </rPh>
    <rPh sb="16" eb="20">
      <t>カイキ</t>
    </rPh>
    <rPh sb="21" eb="22">
      <t xml:space="preserve">モトメル </t>
    </rPh>
    <rPh sb="24" eb="26">
      <t xml:space="preserve">カンスウ </t>
    </rPh>
    <rPh sb="40" eb="45">
      <t>タン</t>
    </rPh>
    <rPh sb="46" eb="48">
      <t xml:space="preserve">セッペン </t>
    </rPh>
    <rPh sb="49" eb="50">
      <t xml:space="preserve">モトメル </t>
    </rPh>
    <rPh sb="52" eb="54">
      <t xml:space="preserve">カンスウ </t>
    </rPh>
    <phoneticPr fontId="2"/>
  </si>
  <si>
    <t>※小数第３位で丸めた値</t>
    <rPh sb="1" eb="3">
      <t xml:space="preserve">ショウスウ </t>
    </rPh>
    <rPh sb="3" eb="4">
      <t xml:space="preserve">ダイ </t>
    </rPh>
    <rPh sb="5" eb="6">
      <t xml:space="preserve">イ </t>
    </rPh>
    <rPh sb="7" eb="8">
      <t xml:space="preserve">マルメ </t>
    </rPh>
    <rPh sb="10" eb="11">
      <t xml:space="preserve">アタイ </t>
    </rPh>
    <phoneticPr fontId="2"/>
  </si>
  <si>
    <t>※=t.inv.2t()を利用することによる，より正確な値</t>
    <rPh sb="13" eb="15">
      <t xml:space="preserve">リヨウ </t>
    </rPh>
    <rPh sb="25" eb="27">
      <t xml:space="preserve">セイカクナ </t>
    </rPh>
    <rPh sb="28" eb="29">
      <t xml:space="preserve">アタイ </t>
    </rPh>
    <phoneticPr fontId="2"/>
  </si>
  <si>
    <t>p.115の表1.3</t>
    <rPh sb="6" eb="7">
      <t xml:space="preserve">ヒョウ </t>
    </rPh>
    <phoneticPr fontId="2"/>
  </si>
  <si>
    <t>※回帰係数の検定の文脈では，残差の母分散の推定量は，残差の平方和を「サンプルサイズ−２」で割って求めることに注意してください。</t>
    <rPh sb="1" eb="5">
      <t>カイｋ</t>
    </rPh>
    <rPh sb="6" eb="8">
      <t xml:space="preserve">ケンテイ </t>
    </rPh>
    <rPh sb="9" eb="11">
      <t xml:space="preserve">ブンミャク </t>
    </rPh>
    <rPh sb="14" eb="16">
      <t xml:space="preserve">ザンサ </t>
    </rPh>
    <rPh sb="17" eb="20">
      <t>ボブ</t>
    </rPh>
    <rPh sb="21" eb="24">
      <t xml:space="preserve">スイテイリョウ </t>
    </rPh>
    <rPh sb="26" eb="28">
      <t>ザ</t>
    </rPh>
    <rPh sb="29" eb="32">
      <t xml:space="preserve">ヘイホウワ </t>
    </rPh>
    <rPh sb="45" eb="46">
      <t xml:space="preserve">ワル </t>
    </rPh>
    <rPh sb="48" eb="49">
      <t xml:space="preserve">モトメル </t>
    </rPh>
    <rPh sb="54" eb="56">
      <t xml:space="preserve">チュウイ 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</si>
</sst>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;[Red]&quot;¥&quot;\-#,##0"/>
    <numFmt numFmtId="176" formatCode="0.000"/>
    <numFmt numFmtId="177" formatCode="0.0%"/>
    <numFmt numFmtId="178" formatCode="0.000000"/>
    <numFmt numFmtId="179" formatCode="0.00_ "/>
    <numFmt numFmtId="180" formatCode="0.0000000"/>
    <numFmt numFmtId="181" formatCode="0.00000000"/>
    <numFmt numFmtId="182" formatCode="0_ "/>
  </numFmts>
  <fonts count="20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2"/>
      <charset val="128"/>
    </font>
    <font>
      <i/>
      <sz val="11"/>
      <name val="ＭＳ Ｐゴシック"/>
      <family val="2"/>
      <charset val="128"/>
    </font>
    <font>
      <i/>
      <sz val="11"/>
      <name val="Times New Roman"/>
      <family val="1"/>
    </font>
    <font>
      <sz val="12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rgb="FF000000"/>
      <name val="ＭＳ Ｐゴシック"/>
      <family val="2"/>
      <charset val="128"/>
    </font>
    <font>
      <i/>
      <sz val="12"/>
      <color theme="1"/>
      <name val="ＭＳ Ｐゴシック"/>
      <family val="2"/>
      <charset val="128"/>
    </font>
    <font>
      <i/>
      <sz val="11"/>
      <color theme="1"/>
      <name val="ＭＳ Ｐゴシック"/>
      <family val="2"/>
      <charset val="128"/>
    </font>
    <font>
      <sz val="11"/>
      <color theme="1" tint="0.499984740745262"/>
      <name val="ＭＳ Ｐゴシック"/>
      <family val="2"/>
      <charset val="128"/>
    </font>
    <font>
      <i/>
      <vertAlign val="subscript"/>
      <sz val="12"/>
      <color theme="1"/>
      <name val="ＭＳ Ｐゴシック"/>
      <family val="2"/>
      <charset val="128"/>
    </font>
    <font>
      <i/>
      <vertAlign val="subscript"/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1"/>
      <color theme="4"/>
      <name val="ＭＳ Ｐゴシック"/>
      <family val="2"/>
      <charset val="12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4" fillId="0" borderId="0">
      <alignment vertical="center"/>
    </xf>
  </cellStyleXfs>
  <cellXfs count="7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8" xfId="0" applyFont="1" applyBorder="1">
      <alignment vertical="center"/>
    </xf>
    <xf numFmtId="0" fontId="3" fillId="3" borderId="8" xfId="0" applyFont="1" applyFill="1" applyBorder="1" applyAlignment="1">
      <alignment horizontal="left" vertical="center"/>
    </xf>
    <xf numFmtId="0" fontId="3" fillId="0" borderId="10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177" fontId="8" fillId="0" borderId="0" xfId="0" applyNumberFormat="1" applyFont="1">
      <alignment vertical="center"/>
    </xf>
    <xf numFmtId="0" fontId="7" fillId="0" borderId="0" xfId="0" applyFont="1" applyAlignment="1">
      <alignment vertical="center" shrinkToFit="1"/>
    </xf>
    <xf numFmtId="0" fontId="7" fillId="0" borderId="1" xfId="0" applyFont="1" applyBorder="1">
      <alignment vertical="center"/>
    </xf>
    <xf numFmtId="2" fontId="7" fillId="0" borderId="1" xfId="0" applyNumberFormat="1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2" borderId="1" xfId="0" applyNumberFormat="1" applyFont="1" applyFill="1" applyBorder="1">
      <alignment vertical="center"/>
    </xf>
    <xf numFmtId="0" fontId="7" fillId="0" borderId="0" xfId="0" applyFont="1" applyAlignment="1">
      <alignment horizontal="left" vertical="center"/>
    </xf>
    <xf numFmtId="0" fontId="3" fillId="0" borderId="0" xfId="1" applyNumberFormat="1" applyFont="1" applyFill="1" applyBorder="1" applyAlignment="1">
      <alignment vertical="center" wrapText="1"/>
    </xf>
    <xf numFmtId="9" fontId="7" fillId="0" borderId="1" xfId="2" applyFont="1" applyBorder="1">
      <alignment vertical="center"/>
    </xf>
    <xf numFmtId="0" fontId="11" fillId="0" borderId="0" xfId="0" applyFont="1">
      <alignment vertical="center"/>
    </xf>
    <xf numFmtId="2" fontId="7" fillId="0" borderId="0" xfId="3" applyNumberFormat="1" applyFont="1">
      <alignment vertical="center"/>
    </xf>
    <xf numFmtId="0" fontId="7" fillId="0" borderId="1" xfId="3" applyFont="1" applyBorder="1">
      <alignment vertical="center"/>
    </xf>
    <xf numFmtId="176" fontId="7" fillId="0" borderId="1" xfId="3" applyNumberFormat="1" applyFont="1" applyBorder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0" fontId="10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2" fontId="7" fillId="0" borderId="0" xfId="0" applyNumberFormat="1" applyFont="1">
      <alignment vertical="center"/>
    </xf>
    <xf numFmtId="0" fontId="14" fillId="0" borderId="8" xfId="4" applyBorder="1">
      <alignment vertical="center"/>
    </xf>
    <xf numFmtId="0" fontId="14" fillId="4" borderId="8" xfId="4" applyFill="1" applyBorder="1" applyAlignment="1">
      <alignment horizontal="left" vertical="center"/>
    </xf>
    <xf numFmtId="0" fontId="14" fillId="0" borderId="0" xfId="4">
      <alignment vertical="center"/>
    </xf>
    <xf numFmtId="0" fontId="14" fillId="0" borderId="0" xfId="4" applyAlignment="1">
      <alignment horizontal="left" vertical="center"/>
    </xf>
    <xf numFmtId="2" fontId="14" fillId="2" borderId="0" xfId="4" applyNumberFormat="1" applyFill="1">
      <alignment vertical="center"/>
    </xf>
    <xf numFmtId="2" fontId="14" fillId="2" borderId="8" xfId="4" applyNumberFormat="1" applyFill="1" applyBorder="1">
      <alignment vertical="center"/>
    </xf>
    <xf numFmtId="2" fontId="14" fillId="2" borderId="1" xfId="4" applyNumberFormat="1" applyFill="1" applyBorder="1">
      <alignment vertical="center"/>
    </xf>
    <xf numFmtId="0" fontId="3" fillId="5" borderId="10" xfId="0" applyFont="1" applyFill="1" applyBorder="1">
      <alignment vertical="center"/>
    </xf>
    <xf numFmtId="0" fontId="3" fillId="5" borderId="0" xfId="0" applyFont="1" applyFill="1">
      <alignment vertical="center"/>
    </xf>
    <xf numFmtId="0" fontId="3" fillId="5" borderId="8" xfId="0" applyFont="1" applyFill="1" applyBorder="1">
      <alignment vertical="center"/>
    </xf>
    <xf numFmtId="176" fontId="3" fillId="5" borderId="0" xfId="0" applyNumberFormat="1" applyFont="1" applyFill="1">
      <alignment vertical="center"/>
    </xf>
    <xf numFmtId="176" fontId="3" fillId="5" borderId="8" xfId="0" applyNumberFormat="1" applyFont="1" applyFill="1" applyBorder="1">
      <alignment vertical="center"/>
    </xf>
    <xf numFmtId="176" fontId="3" fillId="5" borderId="1" xfId="0" applyNumberFormat="1" applyFont="1" applyFill="1" applyBorder="1">
      <alignment vertical="center"/>
    </xf>
    <xf numFmtId="178" fontId="3" fillId="5" borderId="1" xfId="0" applyNumberFormat="1" applyFont="1" applyFill="1" applyBorder="1">
      <alignment vertical="center"/>
    </xf>
    <xf numFmtId="177" fontId="8" fillId="5" borderId="0" xfId="0" applyNumberFormat="1" applyFont="1" applyFill="1">
      <alignment vertical="center"/>
    </xf>
    <xf numFmtId="0" fontId="7" fillId="2" borderId="4" xfId="0" applyFont="1" applyFill="1" applyBorder="1">
      <alignment vertical="center"/>
    </xf>
    <xf numFmtId="0" fontId="7" fillId="2" borderId="0" xfId="0" applyFont="1" applyFill="1">
      <alignment vertical="center"/>
    </xf>
    <xf numFmtId="176" fontId="7" fillId="2" borderId="0" xfId="0" applyNumberFormat="1" applyFont="1" applyFill="1">
      <alignment vertical="center"/>
    </xf>
    <xf numFmtId="2" fontId="7" fillId="2" borderId="0" xfId="0" applyNumberFormat="1" applyFont="1" applyFill="1">
      <alignment vertical="center"/>
    </xf>
    <xf numFmtId="2" fontId="7" fillId="2" borderId="8" xfId="0" applyNumberFormat="1" applyFont="1" applyFill="1" applyBorder="1">
      <alignment vertical="center"/>
    </xf>
    <xf numFmtId="2" fontId="7" fillId="2" borderId="1" xfId="0" applyNumberFormat="1" applyFont="1" applyFill="1" applyBorder="1">
      <alignment vertical="center"/>
    </xf>
    <xf numFmtId="1" fontId="3" fillId="5" borderId="10" xfId="0" applyNumberFormat="1" applyFont="1" applyFill="1" applyBorder="1">
      <alignment vertical="center"/>
    </xf>
    <xf numFmtId="180" fontId="7" fillId="2" borderId="1" xfId="0" applyNumberFormat="1" applyFont="1" applyFill="1" applyBorder="1">
      <alignment vertical="center"/>
    </xf>
    <xf numFmtId="181" fontId="7" fillId="2" borderId="1" xfId="0" applyNumberFormat="1" applyFont="1" applyFill="1" applyBorder="1">
      <alignment vertical="center"/>
    </xf>
    <xf numFmtId="0" fontId="9" fillId="0" borderId="0" xfId="0" applyFont="1">
      <alignment vertical="center"/>
    </xf>
    <xf numFmtId="0" fontId="7" fillId="6" borderId="1" xfId="0" applyFont="1" applyFill="1" applyBorder="1" applyAlignment="1">
      <alignment horizontal="justify" vertical="center" wrapText="1"/>
    </xf>
    <xf numFmtId="0" fontId="10" fillId="6" borderId="1" xfId="0" applyFont="1" applyFill="1" applyBorder="1" applyAlignment="1">
      <alignment horizontal="justify" vertical="center" wrapText="1"/>
    </xf>
    <xf numFmtId="0" fontId="7" fillId="0" borderId="0" xfId="0" applyFont="1" applyAlignment="1">
      <alignment horizontal="right" vertical="center" wrapText="1"/>
    </xf>
    <xf numFmtId="2" fontId="7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center" wrapText="1"/>
    </xf>
    <xf numFmtId="182" fontId="7" fillId="2" borderId="11" xfId="0" applyNumberFormat="1" applyFont="1" applyFill="1" applyBorder="1" applyAlignment="1">
      <alignment horizontal="right" vertical="center" wrapText="1"/>
    </xf>
    <xf numFmtId="1" fontId="7" fillId="2" borderId="1" xfId="0" applyNumberFormat="1" applyFont="1" applyFill="1" applyBorder="1" applyAlignment="1">
      <alignment horizontal="right" vertical="center" wrapText="1"/>
    </xf>
    <xf numFmtId="2" fontId="7" fillId="2" borderId="12" xfId="0" applyNumberFormat="1" applyFont="1" applyFill="1" applyBorder="1" applyAlignment="1">
      <alignment horizontal="right" vertical="center" wrapText="1"/>
    </xf>
    <xf numFmtId="0" fontId="16" fillId="0" borderId="0" xfId="0" applyFont="1">
      <alignment vertical="center"/>
    </xf>
    <xf numFmtId="0" fontId="7" fillId="0" borderId="0" xfId="0" quotePrefix="1" applyFont="1" applyAlignment="1">
      <alignment horizontal="center" vertical="center"/>
    </xf>
    <xf numFmtId="0" fontId="7" fillId="0" borderId="10" xfId="0" applyFont="1" applyBorder="1">
      <alignment vertical="center"/>
    </xf>
    <xf numFmtId="179" fontId="7" fillId="0" borderId="1" xfId="0" applyNumberFormat="1" applyFont="1" applyBorder="1">
      <alignment vertical="center"/>
    </xf>
    <xf numFmtId="0" fontId="7" fillId="2" borderId="11" xfId="0" applyFont="1" applyFill="1" applyBorder="1" applyAlignment="1">
      <alignment horizontal="right" vertical="center" wrapText="1"/>
    </xf>
    <xf numFmtId="2" fontId="7" fillId="0" borderId="0" xfId="0" applyNumberFormat="1" applyFont="1" applyAlignment="1">
      <alignment horizontal="right" vertical="center" wrapText="1"/>
    </xf>
    <xf numFmtId="181" fontId="7" fillId="0" borderId="0" xfId="0" applyNumberFormat="1" applyFont="1">
      <alignment vertical="center"/>
    </xf>
    <xf numFmtId="179" fontId="7" fillId="0" borderId="0" xfId="0" applyNumberFormat="1" applyFont="1">
      <alignment vertical="center"/>
    </xf>
    <xf numFmtId="0" fontId="16" fillId="6" borderId="1" xfId="0" applyFont="1" applyFill="1" applyBorder="1">
      <alignment vertical="center"/>
    </xf>
    <xf numFmtId="176" fontId="14" fillId="2" borderId="1" xfId="4" applyNumberFormat="1" applyFill="1" applyBorder="1">
      <alignment vertical="center"/>
    </xf>
    <xf numFmtId="0" fontId="19" fillId="0" borderId="0" xfId="0" applyFont="1">
      <alignment vertical="center"/>
    </xf>
    <xf numFmtId="179" fontId="7" fillId="2" borderId="1" xfId="0" applyNumberFormat="1" applyFont="1" applyFill="1" applyBorder="1">
      <alignment vertical="center"/>
    </xf>
    <xf numFmtId="0" fontId="19" fillId="0" borderId="0" xfId="0" applyFont="1" applyAlignment="1">
      <alignment horizontal="left" vertical="center"/>
    </xf>
  </cellXfs>
  <cellStyles count="5">
    <cellStyle name="パーセント" xfId="2" builtinId="5"/>
    <cellStyle name="通貨" xfId="1" builtinId="7"/>
    <cellStyle name="標準" xfId="0" builtinId="0"/>
    <cellStyle name="標準 2" xfId="4" xr:uid="{A4EC81F4-738E-4644-9381-D2B009F3BEEF}"/>
    <cellStyle name="標準 3" xfId="3" xr:uid="{85F67EFF-2550-8A4E-BB30-267EC797FE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'p.130-正確二項検定'!$F$8</c:f>
              <c:strCache>
                <c:ptCount val="1"/>
                <c:pt idx="0">
                  <c:v>確率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'p.130-正確二項検定'!$E$9:$E$19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'p.130-正確二項検定'!$F$9:$F$19</c:f>
              <c:numCache>
                <c:formatCode>0.00</c:formatCode>
                <c:ptCount val="11"/>
                <c:pt idx="0">
                  <c:v>9.765625E-4</c:v>
                </c:pt>
                <c:pt idx="1">
                  <c:v>9.765625E-3</c:v>
                </c:pt>
                <c:pt idx="2">
                  <c:v>4.39453125E-2</c:v>
                </c:pt>
                <c:pt idx="3">
                  <c:v>0.1171875</c:v>
                </c:pt>
                <c:pt idx="4">
                  <c:v>0.20507812499999997</c:v>
                </c:pt>
                <c:pt idx="5">
                  <c:v>0.24609375</c:v>
                </c:pt>
                <c:pt idx="6">
                  <c:v>0.20507812499999997</c:v>
                </c:pt>
                <c:pt idx="7">
                  <c:v>0.1171875</c:v>
                </c:pt>
                <c:pt idx="8">
                  <c:v>4.39453125E-2</c:v>
                </c:pt>
                <c:pt idx="9">
                  <c:v>9.765625E-3</c:v>
                </c:pt>
                <c:pt idx="10">
                  <c:v>9.765625E-4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B1-F441-96BB-2F416F8DA4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-27"/>
        <c:axId val="503925352"/>
        <c:axId val="503923712"/>
      </c:barChart>
      <c:catAx>
        <c:axId val="503925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ヒラギノ丸ゴ Pro W4" panose="020F0400000000000000" pitchFamily="34" charset="-128"/>
                    <a:ea typeface="ヒラギノ丸ゴ Pro W4" panose="020F0400000000000000" pitchFamily="34" charset="-128"/>
                    <a:cs typeface="+mn-cs"/>
                  </a:defRPr>
                </a:pPr>
                <a:r>
                  <a:rPr lang="ja-JP" altLang="en-US"/>
                  <a:t>犬派の人数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ヒラギノ丸ゴ Pro W4" panose="020F0400000000000000" pitchFamily="34" charset="-128"/>
                  <a:ea typeface="ヒラギノ丸ゴ Pro W4" panose="020F0400000000000000" pitchFamily="34" charset="-128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ヒラギノ丸ゴ Pro W4" panose="020F0400000000000000" pitchFamily="34" charset="-128"/>
                <a:ea typeface="ヒラギノ丸ゴ Pro W4" panose="020F0400000000000000" pitchFamily="34" charset="-128"/>
                <a:cs typeface="+mn-cs"/>
              </a:defRPr>
            </a:pPr>
            <a:endParaRPr lang="ja-JP"/>
          </a:p>
        </c:txPr>
        <c:crossAx val="503923712"/>
        <c:crosses val="autoZero"/>
        <c:auto val="1"/>
        <c:lblAlgn val="ctr"/>
        <c:lblOffset val="100"/>
        <c:noMultiLvlLbl val="0"/>
      </c:catAx>
      <c:valAx>
        <c:axId val="503923712"/>
        <c:scaling>
          <c:orientation val="minMax"/>
        </c:scaling>
        <c:delete val="0"/>
        <c:axPos val="l"/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ヒラギノ丸ゴ Pro W4" panose="020F0400000000000000" pitchFamily="34" charset="-128"/>
                    <a:ea typeface="ヒラギノ丸ゴ Pro W4" panose="020F0400000000000000" pitchFamily="34" charset="-128"/>
                    <a:cs typeface="+mn-cs"/>
                  </a:defRPr>
                </a:pPr>
                <a:r>
                  <a:rPr lang="ja-JP" altLang="en-US"/>
                  <a:t>確率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ヒラギノ丸ゴ Pro W4" panose="020F0400000000000000" pitchFamily="34" charset="-128"/>
                  <a:ea typeface="ヒラギノ丸ゴ Pro W4" panose="020F0400000000000000" pitchFamily="34" charset="-128"/>
                  <a:cs typeface="+mn-cs"/>
                </a:defRPr>
              </a:pPr>
              <a:endParaRPr lang="ja-JP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ヒラギノ丸ゴ Pro W4" panose="020F0400000000000000" pitchFamily="34" charset="-128"/>
                <a:ea typeface="ヒラギノ丸ゴ Pro W4" panose="020F0400000000000000" pitchFamily="34" charset="-128"/>
                <a:cs typeface="+mn-cs"/>
              </a:defRPr>
            </a:pPr>
            <a:endParaRPr lang="ja-JP"/>
          </a:p>
        </c:txPr>
        <c:crossAx val="503925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ヒラギノ丸ゴ Pro W4" panose="020F0400000000000000" pitchFamily="34" charset="-128"/>
          <a:ea typeface="ヒラギノ丸ゴ Pro W4" panose="020F0400000000000000" pitchFamily="34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'p.130-正確二項検定'!$F$8</c:f>
              <c:strCache>
                <c:ptCount val="1"/>
                <c:pt idx="0">
                  <c:v>確率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'p.130-正確二項検定'!$E$9:$E$19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'p.130-正確二項検定'!$F$9:$F$19</c:f>
              <c:numCache>
                <c:formatCode>0.00</c:formatCode>
                <c:ptCount val="11"/>
                <c:pt idx="0">
                  <c:v>9.765625E-4</c:v>
                </c:pt>
                <c:pt idx="1">
                  <c:v>9.765625E-3</c:v>
                </c:pt>
                <c:pt idx="2">
                  <c:v>4.39453125E-2</c:v>
                </c:pt>
                <c:pt idx="3">
                  <c:v>0.1171875</c:v>
                </c:pt>
                <c:pt idx="4">
                  <c:v>0.20507812499999997</c:v>
                </c:pt>
                <c:pt idx="5">
                  <c:v>0.24609375</c:v>
                </c:pt>
                <c:pt idx="6">
                  <c:v>0.20507812499999997</c:v>
                </c:pt>
                <c:pt idx="7">
                  <c:v>0.1171875</c:v>
                </c:pt>
                <c:pt idx="8">
                  <c:v>4.39453125E-2</c:v>
                </c:pt>
                <c:pt idx="9">
                  <c:v>9.765625E-3</c:v>
                </c:pt>
                <c:pt idx="10">
                  <c:v>9.765625E-4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26-BA4D-BFF5-0FF0EA7D9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-27"/>
        <c:axId val="503925352"/>
        <c:axId val="503923712"/>
      </c:barChart>
      <c:catAx>
        <c:axId val="503925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ヒラギノ丸ゴ Pro W4" panose="020F0400000000000000" pitchFamily="34" charset="-128"/>
                    <a:ea typeface="ヒラギノ丸ゴ Pro W4" panose="020F0400000000000000" pitchFamily="34" charset="-128"/>
                    <a:cs typeface="+mn-cs"/>
                  </a:defRPr>
                </a:pPr>
                <a:r>
                  <a:rPr lang="ja-JP" altLang="en-US"/>
                  <a:t>犬派の人数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ヒラギノ丸ゴ Pro W4" panose="020F0400000000000000" pitchFamily="34" charset="-128"/>
                  <a:ea typeface="ヒラギノ丸ゴ Pro W4" panose="020F0400000000000000" pitchFamily="34" charset="-128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ヒラギノ丸ゴ Pro W4" panose="020F0400000000000000" pitchFamily="34" charset="-128"/>
                <a:ea typeface="ヒラギノ丸ゴ Pro W4" panose="020F0400000000000000" pitchFamily="34" charset="-128"/>
                <a:cs typeface="+mn-cs"/>
              </a:defRPr>
            </a:pPr>
            <a:endParaRPr lang="ja-JP"/>
          </a:p>
        </c:txPr>
        <c:crossAx val="503923712"/>
        <c:crosses val="autoZero"/>
        <c:auto val="1"/>
        <c:lblAlgn val="ctr"/>
        <c:lblOffset val="100"/>
        <c:noMultiLvlLbl val="0"/>
      </c:catAx>
      <c:valAx>
        <c:axId val="503923712"/>
        <c:scaling>
          <c:orientation val="minMax"/>
        </c:scaling>
        <c:delete val="0"/>
        <c:axPos val="l"/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ヒラギノ丸ゴ Pro W4" panose="020F0400000000000000" pitchFamily="34" charset="-128"/>
                    <a:ea typeface="ヒラギノ丸ゴ Pro W4" panose="020F0400000000000000" pitchFamily="34" charset="-128"/>
                    <a:cs typeface="+mn-cs"/>
                  </a:defRPr>
                </a:pPr>
                <a:r>
                  <a:rPr lang="ja-JP" altLang="en-US"/>
                  <a:t>確率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ヒラギノ丸ゴ Pro W4" panose="020F0400000000000000" pitchFamily="34" charset="-128"/>
                  <a:ea typeface="ヒラギノ丸ゴ Pro W4" panose="020F0400000000000000" pitchFamily="34" charset="-128"/>
                  <a:cs typeface="+mn-cs"/>
                </a:defRPr>
              </a:pPr>
              <a:endParaRPr lang="ja-JP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ヒラギノ丸ゴ Pro W4" panose="020F0400000000000000" pitchFamily="34" charset="-128"/>
                <a:ea typeface="ヒラギノ丸ゴ Pro W4" panose="020F0400000000000000" pitchFamily="34" charset="-128"/>
                <a:cs typeface="+mn-cs"/>
              </a:defRPr>
            </a:pPr>
            <a:endParaRPr lang="ja-JP"/>
          </a:p>
        </c:txPr>
        <c:crossAx val="503925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ヒラギノ丸ゴ Pro W4" panose="020F0400000000000000" pitchFamily="34" charset="-128"/>
          <a:ea typeface="ヒラギノ丸ゴ Pro W4" panose="020F0400000000000000" pitchFamily="34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14286</xdr:colOff>
      <xdr:row>20</xdr:row>
      <xdr:rowOff>38099</xdr:rowOff>
    </xdr:from>
    <xdr:to>
      <xdr:col>8</xdr:col>
      <xdr:colOff>495299</xdr:colOff>
      <xdr:row>33</xdr:row>
      <xdr:rowOff>85724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052C3FB-01DE-4A49-9A20-8B11C05D78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14286</xdr:colOff>
      <xdr:row>26</xdr:row>
      <xdr:rowOff>38099</xdr:rowOff>
    </xdr:from>
    <xdr:to>
      <xdr:col>5</xdr:col>
      <xdr:colOff>495299</xdr:colOff>
      <xdr:row>39</xdr:row>
      <xdr:rowOff>85724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797935D-FA6D-F84E-8DD1-6660CAEB4D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6890-7E19-7E45-B28D-FF3903D6091F}">
  <dimension ref="B2:I25"/>
  <sheetViews>
    <sheetView tabSelected="1" workbookViewId="0">
      <selection activeCell="G16" sqref="G16"/>
    </sheetView>
  </sheetViews>
  <sheetFormatPr baseColWidth="10" defaultRowHeight="20" customHeight="1"/>
  <cols>
    <col min="1" max="1" width="10.7109375" style="8"/>
    <col min="2" max="2" width="17.42578125" style="8" bestFit="1" customWidth="1"/>
    <col min="3" max="3" width="11.140625" style="8" bestFit="1" customWidth="1"/>
    <col min="4" max="16384" width="10.7109375" style="8"/>
  </cols>
  <sheetData>
    <row r="2" spans="2:9" ht="20" customHeight="1">
      <c r="B2" s="11" t="s">
        <v>12</v>
      </c>
      <c r="C2" s="11" t="s">
        <v>13</v>
      </c>
      <c r="G2" s="8" t="s">
        <v>136</v>
      </c>
      <c r="H2" s="20">
        <v>0.05</v>
      </c>
      <c r="I2" s="20">
        <v>0.01</v>
      </c>
    </row>
    <row r="3" spans="2:9" ht="20" customHeight="1">
      <c r="B3" s="11">
        <v>1</v>
      </c>
      <c r="C3" s="11">
        <v>800</v>
      </c>
      <c r="G3" s="21" t="s">
        <v>17</v>
      </c>
      <c r="H3" s="11" t="s">
        <v>18</v>
      </c>
      <c r="I3" s="11" t="s">
        <v>19</v>
      </c>
    </row>
    <row r="4" spans="2:9" ht="20" customHeight="1">
      <c r="B4" s="11">
        <v>2</v>
      </c>
      <c r="C4" s="11">
        <v>900</v>
      </c>
      <c r="G4" s="21">
        <v>1</v>
      </c>
      <c r="H4" s="22">
        <f t="shared" ref="H4:I15" si="0">_xlfn.T.INV.2T(H$2,$G4)</f>
        <v>12.706204736174703</v>
      </c>
      <c r="I4" s="22">
        <f t="shared" si="0"/>
        <v>63.656741162871583</v>
      </c>
    </row>
    <row r="5" spans="2:9" ht="20" customHeight="1">
      <c r="B5" s="11">
        <v>3</v>
      </c>
      <c r="C5" s="11">
        <v>1000</v>
      </c>
      <c r="G5" s="21">
        <v>2</v>
      </c>
      <c r="H5" s="22">
        <f t="shared" si="0"/>
        <v>4.3026527297494637</v>
      </c>
      <c r="I5" s="22">
        <f t="shared" si="0"/>
        <v>9.9248432009182928</v>
      </c>
    </row>
    <row r="6" spans="2:9" ht="20" customHeight="1">
      <c r="G6" s="21">
        <v>3</v>
      </c>
      <c r="H6" s="22">
        <f t="shared" si="0"/>
        <v>3.1824463052837091</v>
      </c>
      <c r="I6" s="22">
        <f t="shared" si="0"/>
        <v>5.8409093097333571</v>
      </c>
    </row>
    <row r="7" spans="2:9" ht="20" customHeight="1">
      <c r="G7" s="21">
        <v>4</v>
      </c>
      <c r="H7" s="22">
        <f t="shared" si="0"/>
        <v>2.7764451051977934</v>
      </c>
      <c r="I7" s="22">
        <f t="shared" si="0"/>
        <v>4.604094871349993</v>
      </c>
    </row>
    <row r="8" spans="2:9" ht="20" customHeight="1">
      <c r="B8" s="8" t="s">
        <v>23</v>
      </c>
      <c r="G8" s="21">
        <v>5</v>
      </c>
      <c r="H8" s="22">
        <f t="shared" si="0"/>
        <v>2.570581835636315</v>
      </c>
      <c r="I8" s="22">
        <f t="shared" si="0"/>
        <v>4.0321429835552278</v>
      </c>
    </row>
    <row r="9" spans="2:9" ht="20" customHeight="1">
      <c r="B9" s="23" t="s">
        <v>15</v>
      </c>
      <c r="C9" s="48">
        <f>AVERAGE(C3:C5)</f>
        <v>900</v>
      </c>
      <c r="D9" s="24"/>
      <c r="E9" s="25"/>
      <c r="G9" s="21">
        <v>6</v>
      </c>
      <c r="H9" s="22">
        <f t="shared" si="0"/>
        <v>2.4469118511449697</v>
      </c>
      <c r="I9" s="22">
        <f t="shared" si="0"/>
        <v>3.7074280213247794</v>
      </c>
    </row>
    <row r="10" spans="2:9" ht="20" customHeight="1">
      <c r="B10" s="26" t="s">
        <v>14</v>
      </c>
      <c r="C10" s="49">
        <f>_xlfn.VAR.S(C3:C5)</f>
        <v>10000</v>
      </c>
      <c r="E10" s="27"/>
      <c r="G10" s="21">
        <v>7</v>
      </c>
      <c r="H10" s="22">
        <f t="shared" si="0"/>
        <v>2.3646242515927849</v>
      </c>
      <c r="I10" s="22">
        <f t="shared" si="0"/>
        <v>3.4994832973504946</v>
      </c>
    </row>
    <row r="11" spans="2:9" ht="20" customHeight="1">
      <c r="B11" s="28" t="s">
        <v>48</v>
      </c>
      <c r="C11" s="50">
        <v>4.3029999999999999</v>
      </c>
      <c r="D11" s="76" t="s">
        <v>134</v>
      </c>
      <c r="E11" s="27"/>
      <c r="G11" s="21">
        <v>8</v>
      </c>
      <c r="H11" s="22">
        <f t="shared" si="0"/>
        <v>2.3060041352041671</v>
      </c>
      <c r="I11" s="22">
        <f t="shared" si="0"/>
        <v>3.3553873313333953</v>
      </c>
    </row>
    <row r="12" spans="2:9" ht="20" customHeight="1">
      <c r="B12" s="26" t="s">
        <v>20</v>
      </c>
      <c r="C12" s="49">
        <v>3</v>
      </c>
      <c r="E12" s="27"/>
      <c r="G12" s="21">
        <v>9</v>
      </c>
      <c r="H12" s="22">
        <f t="shared" si="0"/>
        <v>2.2621571627982053</v>
      </c>
      <c r="I12" s="22">
        <f t="shared" si="0"/>
        <v>3.2498355415921263</v>
      </c>
    </row>
    <row r="13" spans="2:9" ht="20" customHeight="1">
      <c r="B13" s="26"/>
      <c r="E13" s="27"/>
      <c r="G13" s="21">
        <v>10</v>
      </c>
      <c r="H13" s="22">
        <f t="shared" si="0"/>
        <v>2.2281388519862744</v>
      </c>
      <c r="I13" s="22">
        <f t="shared" si="0"/>
        <v>3.1692726726169518</v>
      </c>
    </row>
    <row r="14" spans="2:9" ht="20" customHeight="1">
      <c r="B14" s="26" t="s">
        <v>21</v>
      </c>
      <c r="C14" s="51">
        <f>C9+C11*SQRT(C10/C12)</f>
        <v>1148.4338208322961</v>
      </c>
      <c r="E14" s="27"/>
      <c r="G14" s="21">
        <v>20</v>
      </c>
      <c r="H14" s="22">
        <f t="shared" si="0"/>
        <v>2.0859634472658648</v>
      </c>
      <c r="I14" s="22">
        <f t="shared" si="0"/>
        <v>2.8453397097861091</v>
      </c>
    </row>
    <row r="15" spans="2:9" ht="20" customHeight="1">
      <c r="B15" s="29" t="s">
        <v>22</v>
      </c>
      <c r="C15" s="52">
        <f>C9-C11*SQRT(C10/C12)</f>
        <v>651.56617916770404</v>
      </c>
      <c r="D15" s="30"/>
      <c r="E15" s="31"/>
      <c r="G15" s="21">
        <v>9999999999</v>
      </c>
      <c r="H15" s="22">
        <f t="shared" si="0"/>
        <v>1.9599644085189061</v>
      </c>
      <c r="I15" s="22">
        <f t="shared" si="0"/>
        <v>2.5758293956574407</v>
      </c>
    </row>
    <row r="17" spans="2:5" ht="20" customHeight="1">
      <c r="C17" s="32"/>
    </row>
    <row r="18" spans="2:5" ht="20" customHeight="1">
      <c r="B18" s="8" t="s">
        <v>47</v>
      </c>
    </row>
    <row r="19" spans="2:5" ht="20" customHeight="1">
      <c r="B19" s="23" t="s">
        <v>15</v>
      </c>
      <c r="C19" s="48">
        <f>AVERAGE(C13:C15)</f>
        <v>900</v>
      </c>
      <c r="D19" s="24"/>
      <c r="E19" s="25"/>
    </row>
    <row r="20" spans="2:5" ht="20" customHeight="1">
      <c r="B20" s="26" t="s">
        <v>14</v>
      </c>
      <c r="C20" s="49">
        <f>_xlfn.VAR.S(C3:C5)</f>
        <v>10000</v>
      </c>
      <c r="E20" s="27"/>
    </row>
    <row r="21" spans="2:5" ht="20" customHeight="1">
      <c r="B21" s="28" t="s">
        <v>48</v>
      </c>
      <c r="C21" s="50">
        <f>_xlfn.T.INV.2T(0.05,2)</f>
        <v>4.3026527297494637</v>
      </c>
      <c r="D21" s="76" t="s">
        <v>135</v>
      </c>
      <c r="E21" s="27"/>
    </row>
    <row r="22" spans="2:5" ht="20" customHeight="1">
      <c r="B22" s="26" t="s">
        <v>20</v>
      </c>
      <c r="C22" s="49">
        <v>3</v>
      </c>
      <c r="E22" s="27"/>
    </row>
    <row r="23" spans="2:5" ht="20" customHeight="1">
      <c r="B23" s="26"/>
      <c r="E23" s="27"/>
    </row>
    <row r="24" spans="2:5" ht="20" customHeight="1">
      <c r="B24" s="26" t="s">
        <v>21</v>
      </c>
      <c r="C24" s="51">
        <f>C19+C21*SQRT(C20/C22)</f>
        <v>1148.4137711750332</v>
      </c>
      <c r="E24" s="27"/>
    </row>
    <row r="25" spans="2:5" ht="20" customHeight="1">
      <c r="B25" s="29" t="s">
        <v>22</v>
      </c>
      <c r="C25" s="52">
        <f>C19-C21*SQRT(C20/C22)</f>
        <v>651.58622882496695</v>
      </c>
      <c r="D25" s="30"/>
      <c r="E25" s="31"/>
    </row>
  </sheetData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9C454-F43F-4D46-B488-1017A93C29E9}">
  <dimension ref="B2:O54"/>
  <sheetViews>
    <sheetView zoomScaleNormal="100" workbookViewId="0">
      <selection activeCell="H25" sqref="H25"/>
    </sheetView>
  </sheetViews>
  <sheetFormatPr baseColWidth="10" defaultRowHeight="20" customHeight="1"/>
  <cols>
    <col min="1" max="5" width="10.7109375" style="8"/>
    <col min="6" max="6" width="10.7109375" style="8" customWidth="1"/>
    <col min="7" max="16384" width="10.7109375" style="8"/>
  </cols>
  <sheetData>
    <row r="2" spans="2:15" ht="20" customHeight="1">
      <c r="B2" s="11" t="s">
        <v>12</v>
      </c>
      <c r="C2" s="11" t="s">
        <v>69</v>
      </c>
      <c r="D2" s="11" t="s">
        <v>104</v>
      </c>
      <c r="E2" s="11" t="s">
        <v>70</v>
      </c>
      <c r="G2" s="8" t="s">
        <v>95</v>
      </c>
      <c r="I2" s="8" t="s">
        <v>97</v>
      </c>
      <c r="K2" s="8" t="s">
        <v>114</v>
      </c>
      <c r="M2" s="8" t="s">
        <v>113</v>
      </c>
      <c r="O2" s="8" t="s">
        <v>99</v>
      </c>
    </row>
    <row r="3" spans="2:15" ht="20" customHeight="1">
      <c r="B3" s="11">
        <v>1</v>
      </c>
      <c r="C3" s="11" t="s">
        <v>71</v>
      </c>
      <c r="D3" s="11" t="s">
        <v>105</v>
      </c>
      <c r="E3" s="11">
        <v>10</v>
      </c>
      <c r="G3" s="11">
        <f>AVERAGE($E$3:$E$10)</f>
        <v>7</v>
      </c>
      <c r="I3" s="69">
        <f>$E$15-$E$17</f>
        <v>-1</v>
      </c>
      <c r="K3" s="69">
        <f>$C$17-$E$17</f>
        <v>1.5</v>
      </c>
      <c r="M3" s="69">
        <f>$C$15-$E$17-I3-K3</f>
        <v>1.5</v>
      </c>
      <c r="O3" s="69">
        <f>E3-G3-I3-K3-M3</f>
        <v>1</v>
      </c>
    </row>
    <row r="4" spans="2:15" ht="20" customHeight="1">
      <c r="B4" s="11">
        <v>2</v>
      </c>
      <c r="C4" s="11" t="s">
        <v>71</v>
      </c>
      <c r="D4" s="11" t="s">
        <v>105</v>
      </c>
      <c r="E4" s="11">
        <v>8</v>
      </c>
      <c r="F4" s="67" t="s">
        <v>94</v>
      </c>
      <c r="G4" s="11">
        <f t="shared" ref="G4:G10" si="0">AVERAGE($E$3:$E$10)</f>
        <v>7</v>
      </c>
      <c r="H4" s="67" t="s">
        <v>96</v>
      </c>
      <c r="I4" s="69">
        <f t="shared" ref="I4:I6" si="1">$E$15-$E$17</f>
        <v>-1</v>
      </c>
      <c r="J4" s="67" t="s">
        <v>96</v>
      </c>
      <c r="K4" s="69">
        <f>$C$17-$E$17</f>
        <v>1.5</v>
      </c>
      <c r="L4" s="67" t="s">
        <v>96</v>
      </c>
      <c r="M4" s="69">
        <f>$C$15-$E$17-I4-K4</f>
        <v>1.5</v>
      </c>
      <c r="N4" s="67" t="s">
        <v>96</v>
      </c>
      <c r="O4" s="69">
        <f t="shared" ref="O4:O10" si="2">E4-G4-I4-K4-M4</f>
        <v>-1</v>
      </c>
    </row>
    <row r="5" spans="2:15" ht="20" customHeight="1">
      <c r="B5" s="11">
        <v>3</v>
      </c>
      <c r="C5" s="11" t="s">
        <v>71</v>
      </c>
      <c r="D5" s="11" t="s">
        <v>106</v>
      </c>
      <c r="E5" s="11">
        <v>4</v>
      </c>
      <c r="G5" s="11">
        <f t="shared" si="0"/>
        <v>7</v>
      </c>
      <c r="I5" s="69">
        <f t="shared" si="1"/>
        <v>-1</v>
      </c>
      <c r="K5" s="69">
        <f>$D$17-$E$17</f>
        <v>-1.5</v>
      </c>
      <c r="M5" s="69">
        <f>$D$15-$E$17-I5-K5</f>
        <v>-1.5</v>
      </c>
      <c r="O5" s="69">
        <f t="shared" si="2"/>
        <v>1</v>
      </c>
    </row>
    <row r="6" spans="2:15" ht="20" customHeight="1">
      <c r="B6" s="11">
        <v>4</v>
      </c>
      <c r="C6" s="11" t="s">
        <v>71</v>
      </c>
      <c r="D6" s="11" t="s">
        <v>106</v>
      </c>
      <c r="E6" s="11">
        <v>2</v>
      </c>
      <c r="G6" s="11">
        <f t="shared" si="0"/>
        <v>7</v>
      </c>
      <c r="I6" s="69">
        <f t="shared" si="1"/>
        <v>-1</v>
      </c>
      <c r="K6" s="69">
        <f>$D$17-$E$17</f>
        <v>-1.5</v>
      </c>
      <c r="M6" s="69">
        <f>$D$15-$E$17-I6-K6</f>
        <v>-1.5</v>
      </c>
      <c r="O6" s="69">
        <f t="shared" si="2"/>
        <v>-1</v>
      </c>
    </row>
    <row r="7" spans="2:15" ht="20" customHeight="1">
      <c r="B7" s="11">
        <v>5</v>
      </c>
      <c r="C7" s="11" t="s">
        <v>72</v>
      </c>
      <c r="D7" s="11" t="s">
        <v>105</v>
      </c>
      <c r="E7" s="11">
        <v>9</v>
      </c>
      <c r="G7" s="11">
        <f t="shared" si="0"/>
        <v>7</v>
      </c>
      <c r="I7" s="69">
        <f>$E$16-$E$17</f>
        <v>1</v>
      </c>
      <c r="K7" s="69">
        <f>$C$17-$E$17</f>
        <v>1.5</v>
      </c>
      <c r="M7" s="69">
        <f>$C$16-$E$17-I7-K7</f>
        <v>-1.5</v>
      </c>
      <c r="O7" s="69">
        <f t="shared" si="2"/>
        <v>1</v>
      </c>
    </row>
    <row r="8" spans="2:15" ht="20" customHeight="1">
      <c r="B8" s="11">
        <v>6</v>
      </c>
      <c r="C8" s="11" t="s">
        <v>72</v>
      </c>
      <c r="D8" s="11" t="s">
        <v>105</v>
      </c>
      <c r="E8" s="11">
        <v>7</v>
      </c>
      <c r="G8" s="11">
        <f t="shared" si="0"/>
        <v>7</v>
      </c>
      <c r="I8" s="69">
        <f t="shared" ref="I8:I10" si="3">$E$16-$E$17</f>
        <v>1</v>
      </c>
      <c r="K8" s="69">
        <f>$C$17-$E$17</f>
        <v>1.5</v>
      </c>
      <c r="M8" s="69">
        <f>$C$16-$E$17-I8-K8</f>
        <v>-1.5</v>
      </c>
      <c r="O8" s="69">
        <f t="shared" si="2"/>
        <v>-1</v>
      </c>
    </row>
    <row r="9" spans="2:15" ht="20" customHeight="1">
      <c r="B9" s="11">
        <v>7</v>
      </c>
      <c r="C9" s="11" t="s">
        <v>72</v>
      </c>
      <c r="D9" s="11" t="s">
        <v>106</v>
      </c>
      <c r="E9" s="11">
        <v>9</v>
      </c>
      <c r="G9" s="11">
        <f t="shared" si="0"/>
        <v>7</v>
      </c>
      <c r="I9" s="69">
        <f t="shared" si="3"/>
        <v>1</v>
      </c>
      <c r="K9" s="69">
        <f>$D$17-$E$17</f>
        <v>-1.5</v>
      </c>
      <c r="M9" s="69">
        <f>$E$16-$E$17-I9-K9</f>
        <v>1.5</v>
      </c>
      <c r="O9" s="69">
        <f t="shared" si="2"/>
        <v>1</v>
      </c>
    </row>
    <row r="10" spans="2:15" ht="20" customHeight="1">
      <c r="B10" s="11">
        <v>8</v>
      </c>
      <c r="C10" s="11" t="s">
        <v>72</v>
      </c>
      <c r="D10" s="11" t="s">
        <v>106</v>
      </c>
      <c r="E10" s="11">
        <v>7</v>
      </c>
      <c r="G10" s="11">
        <f t="shared" si="0"/>
        <v>7</v>
      </c>
      <c r="I10" s="69">
        <f t="shared" si="3"/>
        <v>1</v>
      </c>
      <c r="K10" s="69">
        <f>$D$17-$E$17</f>
        <v>-1.5</v>
      </c>
      <c r="M10" s="69">
        <f>$E$16-$E$17-I10-K10</f>
        <v>1.5</v>
      </c>
      <c r="O10" s="69">
        <f t="shared" si="2"/>
        <v>-1</v>
      </c>
    </row>
    <row r="11" spans="2:15" ht="20" customHeight="1">
      <c r="I11" s="73"/>
    </row>
    <row r="13" spans="2:15" ht="20" customHeight="1">
      <c r="B13" s="33" t="s">
        <v>107</v>
      </c>
      <c r="C13" s="33"/>
      <c r="D13" s="33"/>
      <c r="E13" s="35"/>
    </row>
    <row r="14" spans="2:15" ht="20" customHeight="1">
      <c r="B14" s="34"/>
      <c r="C14" s="33" t="s">
        <v>108</v>
      </c>
      <c r="D14" s="33" t="s">
        <v>109</v>
      </c>
      <c r="E14" s="68" t="s">
        <v>112</v>
      </c>
    </row>
    <row r="15" spans="2:15" ht="20" customHeight="1">
      <c r="B15" s="35" t="s">
        <v>110</v>
      </c>
      <c r="C15" s="37">
        <f>AVERAGE(E3:E4)</f>
        <v>9</v>
      </c>
      <c r="D15" s="37">
        <f>AVERAGE(E5:E6)</f>
        <v>3</v>
      </c>
      <c r="E15" s="51">
        <f>AVERAGE(E3:E6)</f>
        <v>6</v>
      </c>
    </row>
    <row r="16" spans="2:15" ht="20" customHeight="1">
      <c r="B16" s="33" t="s">
        <v>111</v>
      </c>
      <c r="C16" s="38">
        <f>AVERAGE(E7:E8)</f>
        <v>8</v>
      </c>
      <c r="D16" s="38">
        <f>AVERAGE(E9:E10)</f>
        <v>8</v>
      </c>
      <c r="E16" s="52">
        <f>AVERAGE(E7:E10)</f>
        <v>8</v>
      </c>
    </row>
    <row r="17" spans="2:8" ht="20" customHeight="1">
      <c r="B17" s="35" t="s">
        <v>112</v>
      </c>
      <c r="C17" s="37">
        <f>AVERAGE(E3:E4,E7:E8)</f>
        <v>8.5</v>
      </c>
      <c r="D17" s="37">
        <f>AVERAGE(E5:E6,E9:E10)</f>
        <v>5.5</v>
      </c>
      <c r="E17" s="51">
        <f>AVERAGE(E3:E10)</f>
        <v>7</v>
      </c>
    </row>
    <row r="18" spans="2:8" ht="20" customHeight="1">
      <c r="B18" s="35"/>
      <c r="C18" s="35"/>
      <c r="D18" s="35"/>
      <c r="E18" s="35"/>
    </row>
    <row r="20" spans="2:8" ht="20" customHeight="1">
      <c r="B20" s="8" t="s">
        <v>79</v>
      </c>
    </row>
    <row r="21" spans="2:8" ht="20" customHeight="1">
      <c r="B21" s="58"/>
      <c r="C21" s="58" t="s">
        <v>80</v>
      </c>
      <c r="D21" s="58" t="s">
        <v>16</v>
      </c>
      <c r="E21" s="58" t="s">
        <v>81</v>
      </c>
      <c r="F21" s="59" t="s">
        <v>82</v>
      </c>
      <c r="G21" s="59" t="s">
        <v>2</v>
      </c>
      <c r="H21" s="74" t="s">
        <v>89</v>
      </c>
    </row>
    <row r="22" spans="2:8" ht="20" customHeight="1">
      <c r="B22" s="58" t="s">
        <v>115</v>
      </c>
      <c r="C22" s="61">
        <f>SUMSQ(I3:I10)</f>
        <v>8</v>
      </c>
      <c r="D22" s="62">
        <v>1</v>
      </c>
      <c r="E22" s="65">
        <f>C22/D22</f>
        <v>8</v>
      </c>
      <c r="F22" s="61">
        <f>E22/$E$25</f>
        <v>4</v>
      </c>
      <c r="G22" s="15">
        <f>_xlfn.F.DIST.RT(F22,D22,$D$25)</f>
        <v>0.11611652351681555</v>
      </c>
      <c r="H22" s="15">
        <f>C22/(C22+$C$25)</f>
        <v>0.5</v>
      </c>
    </row>
    <row r="23" spans="2:8" ht="20" customHeight="1">
      <c r="B23" s="58" t="s">
        <v>116</v>
      </c>
      <c r="C23" s="61">
        <f>SUMSQ(K3:K10)</f>
        <v>18</v>
      </c>
      <c r="D23" s="70">
        <v>1</v>
      </c>
      <c r="E23" s="65">
        <f>C23/D23</f>
        <v>18</v>
      </c>
      <c r="F23" s="61">
        <f>E23/$E$25</f>
        <v>9</v>
      </c>
      <c r="G23" s="15">
        <f>_xlfn.F.DIST.RT(F23,D23,$D$25)</f>
        <v>3.9941968071718827E-2</v>
      </c>
      <c r="H23" s="15">
        <f>C23/(C23+$C$25)</f>
        <v>0.69230769230769229</v>
      </c>
    </row>
    <row r="24" spans="2:8" ht="20" customHeight="1">
      <c r="B24" s="58" t="s">
        <v>117</v>
      </c>
      <c r="C24" s="61">
        <f>SUMSQ(M3:M10)</f>
        <v>18</v>
      </c>
      <c r="D24" s="70">
        <v>1</v>
      </c>
      <c r="E24" s="65">
        <f>C24/D24</f>
        <v>18</v>
      </c>
      <c r="F24" s="61">
        <f>E24/$E$25</f>
        <v>9</v>
      </c>
      <c r="G24" s="15">
        <f>_xlfn.F.DIST.RT(F24,D24,$D$25)</f>
        <v>3.9941968071718827E-2</v>
      </c>
      <c r="H24" s="15">
        <f>C24/(C24+$C$25)</f>
        <v>0.69230769230769229</v>
      </c>
    </row>
    <row r="25" spans="2:8" ht="20" customHeight="1">
      <c r="B25" s="58" t="s">
        <v>84</v>
      </c>
      <c r="C25" s="61">
        <f>SUMSQ(O3:O10)</f>
        <v>8</v>
      </c>
      <c r="D25" s="63">
        <v>4</v>
      </c>
      <c r="E25" s="61">
        <f>C25/D25</f>
        <v>2</v>
      </c>
      <c r="F25" s="60"/>
    </row>
    <row r="26" spans="2:8" ht="20" customHeight="1">
      <c r="B26" s="58" t="s">
        <v>76</v>
      </c>
      <c r="C26" s="61">
        <f>_xlfn.VAR.P(E3:E10)*8</f>
        <v>52</v>
      </c>
      <c r="D26" s="64">
        <v>7</v>
      </c>
      <c r="E26" s="60"/>
      <c r="F26" s="60"/>
    </row>
    <row r="30" spans="2:8" ht="20" customHeight="1">
      <c r="B30" s="8" t="s">
        <v>119</v>
      </c>
    </row>
    <row r="31" spans="2:8" ht="20" customHeight="1">
      <c r="B31" s="8" t="s">
        <v>79</v>
      </c>
    </row>
    <row r="32" spans="2:8" ht="20" customHeight="1">
      <c r="B32" s="58"/>
      <c r="C32" s="58" t="s">
        <v>80</v>
      </c>
      <c r="D32" s="58" t="s">
        <v>16</v>
      </c>
      <c r="E32" s="58" t="s">
        <v>81</v>
      </c>
      <c r="F32" s="59" t="s">
        <v>82</v>
      </c>
      <c r="G32" s="59" t="s">
        <v>2</v>
      </c>
      <c r="H32" s="74" t="s">
        <v>89</v>
      </c>
    </row>
    <row r="33" spans="2:9" ht="20" customHeight="1">
      <c r="B33" s="58" t="s">
        <v>116</v>
      </c>
      <c r="C33" s="61">
        <f>(C15-E15)^2*2+(D15-E15)^2*2</f>
        <v>36</v>
      </c>
      <c r="D33" s="70">
        <v>1</v>
      </c>
      <c r="E33" s="65">
        <f>C33/D33</f>
        <v>36</v>
      </c>
      <c r="F33" s="61">
        <f>E33/$E$25</f>
        <v>18</v>
      </c>
      <c r="G33" s="15">
        <f>_xlfn.F.DIST.RT(F33,D33,D34)</f>
        <v>1.3235599563682685E-2</v>
      </c>
      <c r="H33" s="15">
        <f>C33/(C33+C34)</f>
        <v>0.81818181818181823</v>
      </c>
      <c r="I33" s="76" t="s">
        <v>130</v>
      </c>
    </row>
    <row r="34" spans="2:9" ht="20" customHeight="1">
      <c r="B34" s="58" t="s">
        <v>84</v>
      </c>
      <c r="C34" s="61">
        <f>C$25</f>
        <v>8</v>
      </c>
      <c r="D34" s="64">
        <f>D$25</f>
        <v>4</v>
      </c>
      <c r="E34" s="61">
        <f>E$25</f>
        <v>2</v>
      </c>
      <c r="F34" s="60"/>
      <c r="I34" s="76"/>
    </row>
    <row r="35" spans="2:9" ht="20" customHeight="1">
      <c r="I35" s="76"/>
    </row>
    <row r="36" spans="2:9" ht="20" customHeight="1">
      <c r="B36" s="8" t="s">
        <v>120</v>
      </c>
      <c r="I36" s="76"/>
    </row>
    <row r="37" spans="2:9" ht="20" customHeight="1">
      <c r="B37" s="8" t="s">
        <v>79</v>
      </c>
      <c r="I37" s="76"/>
    </row>
    <row r="38" spans="2:9" ht="20" customHeight="1">
      <c r="B38" s="58"/>
      <c r="C38" s="58" t="s">
        <v>80</v>
      </c>
      <c r="D38" s="58" t="s">
        <v>16</v>
      </c>
      <c r="E38" s="58" t="s">
        <v>81</v>
      </c>
      <c r="F38" s="59" t="s">
        <v>82</v>
      </c>
      <c r="G38" s="59" t="s">
        <v>2</v>
      </c>
      <c r="H38" s="74" t="s">
        <v>89</v>
      </c>
      <c r="I38" s="76"/>
    </row>
    <row r="39" spans="2:9" ht="20" customHeight="1">
      <c r="B39" s="58" t="s">
        <v>116</v>
      </c>
      <c r="C39" s="61">
        <f>(C16-E16)^2*2+(D16-E16)^2*2</f>
        <v>0</v>
      </c>
      <c r="D39" s="70">
        <v>1</v>
      </c>
      <c r="E39" s="65">
        <f>C39/D39</f>
        <v>0</v>
      </c>
      <c r="F39" s="61">
        <f>E39/$E$25</f>
        <v>0</v>
      </c>
      <c r="G39" s="15">
        <f>_xlfn.F.DIST.RT(F39,D39,D40)</f>
        <v>1</v>
      </c>
      <c r="H39" s="15">
        <f>C39/(C39+C40)</f>
        <v>0</v>
      </c>
      <c r="I39" s="76"/>
    </row>
    <row r="40" spans="2:9" ht="20" customHeight="1">
      <c r="B40" s="58" t="s">
        <v>84</v>
      </c>
      <c r="C40" s="61">
        <f>C$25</f>
        <v>8</v>
      </c>
      <c r="D40" s="64">
        <f>D$25</f>
        <v>4</v>
      </c>
      <c r="E40" s="61">
        <f>E$25</f>
        <v>2</v>
      </c>
      <c r="F40" s="60"/>
      <c r="I40" s="76"/>
    </row>
    <row r="41" spans="2:9" ht="20" customHeight="1">
      <c r="I41" s="76"/>
    </row>
    <row r="42" spans="2:9" ht="20" customHeight="1">
      <c r="I42" s="76"/>
    </row>
    <row r="43" spans="2:9" ht="20" customHeight="1">
      <c r="I43" s="76"/>
    </row>
    <row r="44" spans="2:9" ht="20" customHeight="1">
      <c r="B44" s="8" t="s">
        <v>121</v>
      </c>
      <c r="I44" s="76"/>
    </row>
    <row r="45" spans="2:9" ht="20" customHeight="1">
      <c r="B45" s="8" t="s">
        <v>79</v>
      </c>
      <c r="I45" s="76"/>
    </row>
    <row r="46" spans="2:9" ht="20" customHeight="1">
      <c r="B46" s="58"/>
      <c r="C46" s="58" t="s">
        <v>80</v>
      </c>
      <c r="D46" s="58" t="s">
        <v>16</v>
      </c>
      <c r="E46" s="58" t="s">
        <v>81</v>
      </c>
      <c r="F46" s="59" t="s">
        <v>82</v>
      </c>
      <c r="G46" s="59" t="s">
        <v>2</v>
      </c>
      <c r="H46" s="74" t="s">
        <v>89</v>
      </c>
      <c r="I46" s="76"/>
    </row>
    <row r="47" spans="2:9" ht="20" customHeight="1">
      <c r="B47" s="58" t="s">
        <v>118</v>
      </c>
      <c r="C47" s="61">
        <f>(C15-C17)^2*2+(C16-C17)^2*2</f>
        <v>1</v>
      </c>
      <c r="D47" s="70">
        <v>1</v>
      </c>
      <c r="E47" s="65">
        <f>C47/D47</f>
        <v>1</v>
      </c>
      <c r="F47" s="61">
        <f>E47/$E$25</f>
        <v>0.5</v>
      </c>
      <c r="G47" s="15">
        <f>_xlfn.F.DIST.RT(F47,D47,D48)</f>
        <v>0.51851851851851838</v>
      </c>
      <c r="H47" s="15">
        <f>C47/(C47+C48)</f>
        <v>0.1111111111111111</v>
      </c>
      <c r="I47" s="76" t="s">
        <v>131</v>
      </c>
    </row>
    <row r="48" spans="2:9" ht="20" customHeight="1">
      <c r="B48" s="58" t="s">
        <v>84</v>
      </c>
      <c r="C48" s="61">
        <f>C$25</f>
        <v>8</v>
      </c>
      <c r="D48" s="64">
        <f>D$25</f>
        <v>4</v>
      </c>
      <c r="E48" s="61">
        <f>E$25</f>
        <v>2</v>
      </c>
      <c r="F48" s="60"/>
      <c r="I48" s="76"/>
    </row>
    <row r="49" spans="2:9" ht="20" customHeight="1">
      <c r="I49" s="76"/>
    </row>
    <row r="50" spans="2:9" ht="20" customHeight="1">
      <c r="B50" s="8" t="s">
        <v>122</v>
      </c>
      <c r="I50" s="76"/>
    </row>
    <row r="51" spans="2:9" ht="20" customHeight="1">
      <c r="B51" s="8" t="s">
        <v>79</v>
      </c>
      <c r="I51" s="76"/>
    </row>
    <row r="52" spans="2:9" ht="20" customHeight="1">
      <c r="B52" s="58"/>
      <c r="C52" s="58" t="s">
        <v>80</v>
      </c>
      <c r="D52" s="58" t="s">
        <v>16</v>
      </c>
      <c r="E52" s="58" t="s">
        <v>81</v>
      </c>
      <c r="F52" s="59" t="s">
        <v>82</v>
      </c>
      <c r="G52" s="59" t="s">
        <v>2</v>
      </c>
      <c r="H52" s="74" t="s">
        <v>89</v>
      </c>
      <c r="I52" s="76"/>
    </row>
    <row r="53" spans="2:9" ht="20" customHeight="1">
      <c r="B53" s="58" t="s">
        <v>118</v>
      </c>
      <c r="C53" s="61">
        <f>(D15-D17)^2*2+(D16-D17)^2*2</f>
        <v>25</v>
      </c>
      <c r="D53" s="70">
        <v>1</v>
      </c>
      <c r="E53" s="65">
        <f>C53/D53</f>
        <v>25</v>
      </c>
      <c r="F53" s="61">
        <f>E53/$E$25</f>
        <v>12.5</v>
      </c>
      <c r="G53" s="15">
        <f>_xlfn.F.DIST.RT(F53,D53,D54)</f>
        <v>2.4110110551390906E-2</v>
      </c>
      <c r="H53" s="15">
        <f>C53/(C53+C54)</f>
        <v>0.75757575757575757</v>
      </c>
      <c r="I53" s="76" t="s">
        <v>132</v>
      </c>
    </row>
    <row r="54" spans="2:9" ht="20" customHeight="1">
      <c r="B54" s="58" t="s">
        <v>84</v>
      </c>
      <c r="C54" s="61">
        <f>C$25</f>
        <v>8</v>
      </c>
      <c r="D54" s="64">
        <f>D$25</f>
        <v>4</v>
      </c>
      <c r="E54" s="61">
        <f>E$25</f>
        <v>2</v>
      </c>
      <c r="F54" s="60"/>
    </row>
  </sheetData>
  <phoneticPr fontId="2"/>
  <pageMargins left="0.7" right="0.7" top="0.75" bottom="0.75" header="0.3" footer="0.3"/>
  <ignoredErrors>
    <ignoredError sqref="C15:E16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2EB61-C298-3948-9E96-D463CFE6434A}">
  <dimension ref="B2:D19"/>
  <sheetViews>
    <sheetView workbookViewId="0">
      <selection activeCell="K16" sqref="K16"/>
    </sheetView>
  </sheetViews>
  <sheetFormatPr baseColWidth="10" defaultRowHeight="20" customHeight="1"/>
  <cols>
    <col min="1" max="16384" width="10.7109375" style="8"/>
  </cols>
  <sheetData>
    <row r="2" spans="2:4" ht="20" customHeight="1">
      <c r="B2" s="11" t="s">
        <v>12</v>
      </c>
      <c r="C2" s="11" t="s">
        <v>123</v>
      </c>
      <c r="D2" s="11" t="s">
        <v>124</v>
      </c>
    </row>
    <row r="3" spans="2:4" ht="20" customHeight="1">
      <c r="B3" s="11">
        <v>1</v>
      </c>
      <c r="C3" s="11">
        <v>9</v>
      </c>
      <c r="D3" s="11">
        <v>80</v>
      </c>
    </row>
    <row r="4" spans="2:4" ht="20" customHeight="1">
      <c r="B4" s="11">
        <v>2</v>
      </c>
      <c r="C4" s="11">
        <v>5</v>
      </c>
      <c r="D4" s="11">
        <v>30</v>
      </c>
    </row>
    <row r="5" spans="2:4" ht="20" customHeight="1">
      <c r="B5" s="11">
        <v>3</v>
      </c>
      <c r="C5" s="11">
        <v>6</v>
      </c>
      <c r="D5" s="11">
        <v>40</v>
      </c>
    </row>
    <row r="6" spans="2:4" ht="20" customHeight="1">
      <c r="B6" s="11">
        <v>4</v>
      </c>
      <c r="C6" s="11">
        <v>8</v>
      </c>
      <c r="D6" s="11">
        <v>80</v>
      </c>
    </row>
    <row r="7" spans="2:4" ht="20" customHeight="1">
      <c r="B7" s="11">
        <v>5</v>
      </c>
      <c r="C7" s="11">
        <v>7</v>
      </c>
      <c r="D7" s="11">
        <v>70</v>
      </c>
    </row>
    <row r="8" spans="2:4" ht="20" customHeight="1">
      <c r="B8" s="11">
        <v>6</v>
      </c>
      <c r="C8" s="11">
        <v>8</v>
      </c>
      <c r="D8" s="11">
        <v>80</v>
      </c>
    </row>
    <row r="9" spans="2:4" ht="20" customHeight="1">
      <c r="B9" s="11">
        <v>7</v>
      </c>
      <c r="C9" s="11">
        <v>9</v>
      </c>
      <c r="D9" s="11">
        <v>100</v>
      </c>
    </row>
    <row r="10" spans="2:4" ht="20" customHeight="1">
      <c r="B10" s="11">
        <v>8</v>
      </c>
      <c r="C10" s="11">
        <v>10</v>
      </c>
      <c r="D10" s="11">
        <v>80</v>
      </c>
    </row>
    <row r="12" spans="2:4" ht="20" customHeight="1">
      <c r="B12" s="8" t="s">
        <v>125</v>
      </c>
    </row>
    <row r="13" spans="2:4" ht="20" customHeight="1">
      <c r="B13" s="15">
        <f>CORREL(C3:C10,D3:D10)</f>
        <v>0.88166203004477395</v>
      </c>
    </row>
    <row r="15" spans="2:4" ht="20" customHeight="1">
      <c r="B15" s="35" t="s">
        <v>54</v>
      </c>
    </row>
    <row r="16" spans="2:4" ht="20" customHeight="1">
      <c r="B16" s="75">
        <f>(B13*SQRT(8-2))/SQRT(1-B13^2)</f>
        <v>4.5766204283788401</v>
      </c>
    </row>
    <row r="18" spans="2:2" ht="20" customHeight="1">
      <c r="B18" s="8" t="s">
        <v>45</v>
      </c>
    </row>
    <row r="19" spans="2:2" ht="20" customHeight="1">
      <c r="B19" s="15">
        <f>_xlfn.T.DIST.2T(ABS(B16),6)</f>
        <v>3.7839745707553361E-3</v>
      </c>
    </row>
  </sheetData>
  <phoneticPr fontId="2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64C58-BB3F-7949-9247-EF7E8D945396}">
  <dimension ref="B2:F22"/>
  <sheetViews>
    <sheetView workbookViewId="0">
      <selection activeCell="C17" sqref="C17"/>
    </sheetView>
  </sheetViews>
  <sheetFormatPr baseColWidth="10" defaultRowHeight="20" customHeight="1"/>
  <cols>
    <col min="1" max="4" width="10.7109375" style="8"/>
    <col min="5" max="5" width="15.7109375" style="8" bestFit="1" customWidth="1"/>
    <col min="6" max="6" width="10.7109375" style="8" customWidth="1"/>
    <col min="7" max="16384" width="10.7109375" style="8"/>
  </cols>
  <sheetData>
    <row r="2" spans="2:6" ht="20" customHeight="1">
      <c r="B2" s="11" t="s">
        <v>12</v>
      </c>
      <c r="C2" s="11" t="s">
        <v>123</v>
      </c>
      <c r="D2" s="11" t="s">
        <v>124</v>
      </c>
      <c r="E2" s="11" t="s">
        <v>128</v>
      </c>
      <c r="F2" s="11" t="s">
        <v>103</v>
      </c>
    </row>
    <row r="3" spans="2:6" ht="20" customHeight="1">
      <c r="B3" s="11">
        <v>1</v>
      </c>
      <c r="C3" s="11">
        <v>9</v>
      </c>
      <c r="D3" s="11">
        <v>80</v>
      </c>
      <c r="E3" s="53">
        <f>$C$13+C3*$B$13</f>
        <v>85.384615384615387</v>
      </c>
      <c r="F3" s="77">
        <f>E3-D3</f>
        <v>5.3846153846153868</v>
      </c>
    </row>
    <row r="4" spans="2:6" ht="20" customHeight="1">
      <c r="B4" s="11">
        <v>2</v>
      </c>
      <c r="C4" s="11">
        <v>5</v>
      </c>
      <c r="D4" s="11">
        <v>30</v>
      </c>
      <c r="E4" s="53">
        <f t="shared" ref="E4:E10" si="0">$C$13+C4*$B$13</f>
        <v>36.153846153846153</v>
      </c>
      <c r="F4" s="77">
        <f t="shared" ref="F4:F10" si="1">E4-D4</f>
        <v>6.1538461538461533</v>
      </c>
    </row>
    <row r="5" spans="2:6" ht="20" customHeight="1">
      <c r="B5" s="11">
        <v>3</v>
      </c>
      <c r="C5" s="11">
        <v>6</v>
      </c>
      <c r="D5" s="11">
        <v>40</v>
      </c>
      <c r="E5" s="53">
        <f t="shared" si="0"/>
        <v>48.461538461538467</v>
      </c>
      <c r="F5" s="77">
        <f t="shared" si="1"/>
        <v>8.461538461538467</v>
      </c>
    </row>
    <row r="6" spans="2:6" ht="20" customHeight="1">
      <c r="B6" s="11">
        <v>4</v>
      </c>
      <c r="C6" s="11">
        <v>8</v>
      </c>
      <c r="D6" s="11">
        <v>80</v>
      </c>
      <c r="E6" s="53">
        <f t="shared" si="0"/>
        <v>73.07692307692308</v>
      </c>
      <c r="F6" s="77">
        <f t="shared" si="1"/>
        <v>-6.9230769230769198</v>
      </c>
    </row>
    <row r="7" spans="2:6" ht="20" customHeight="1">
      <c r="B7" s="11">
        <v>5</v>
      </c>
      <c r="C7" s="11">
        <v>7</v>
      </c>
      <c r="D7" s="11">
        <v>70</v>
      </c>
      <c r="E7" s="53">
        <f t="shared" si="0"/>
        <v>60.769230769230774</v>
      </c>
      <c r="F7" s="77">
        <f t="shared" si="1"/>
        <v>-9.2307692307692264</v>
      </c>
    </row>
    <row r="8" spans="2:6" ht="20" customHeight="1">
      <c r="B8" s="11">
        <v>6</v>
      </c>
      <c r="C8" s="11">
        <v>8</v>
      </c>
      <c r="D8" s="11">
        <v>80</v>
      </c>
      <c r="E8" s="53">
        <f t="shared" si="0"/>
        <v>73.07692307692308</v>
      </c>
      <c r="F8" s="77">
        <f t="shared" si="1"/>
        <v>-6.9230769230769198</v>
      </c>
    </row>
    <row r="9" spans="2:6" ht="20" customHeight="1">
      <c r="B9" s="11">
        <v>7</v>
      </c>
      <c r="C9" s="11">
        <v>9</v>
      </c>
      <c r="D9" s="11">
        <v>100</v>
      </c>
      <c r="E9" s="53">
        <f t="shared" si="0"/>
        <v>85.384615384615387</v>
      </c>
      <c r="F9" s="77">
        <f t="shared" si="1"/>
        <v>-14.615384615384613</v>
      </c>
    </row>
    <row r="10" spans="2:6" ht="20" customHeight="1">
      <c r="B10" s="11">
        <v>8</v>
      </c>
      <c r="C10" s="11">
        <v>10</v>
      </c>
      <c r="D10" s="11">
        <v>80</v>
      </c>
      <c r="E10" s="53">
        <f t="shared" si="0"/>
        <v>97.692307692307693</v>
      </c>
      <c r="F10" s="77">
        <f t="shared" si="1"/>
        <v>17.692307692307693</v>
      </c>
    </row>
    <row r="12" spans="2:6" ht="20" customHeight="1">
      <c r="B12" s="8" t="s">
        <v>126</v>
      </c>
      <c r="C12" s="8" t="s">
        <v>129</v>
      </c>
    </row>
    <row r="13" spans="2:6" ht="20" customHeight="1">
      <c r="B13" s="53">
        <f>SLOPE(D3:D10,C3:C10)</f>
        <v>12.307692307692308</v>
      </c>
      <c r="C13" s="53">
        <f>INTERCEPT(D3:D10,C3:C10)</f>
        <v>-25.384615384615387</v>
      </c>
      <c r="D13" s="76" t="s">
        <v>133</v>
      </c>
    </row>
    <row r="15" spans="2:6" ht="20" customHeight="1">
      <c r="B15" s="35" t="s">
        <v>127</v>
      </c>
    </row>
    <row r="16" spans="2:6" ht="20" customHeight="1">
      <c r="B16" s="75">
        <f>SQRT((_xlfn.VAR.P(F3:F10)*8/6)/(_xlfn.VAR.P(C3:C10)*8))</f>
        <v>2.6892534568465423</v>
      </c>
      <c r="C16" s="76" t="s">
        <v>137</v>
      </c>
    </row>
    <row r="18" spans="2:2" ht="20" customHeight="1">
      <c r="B18" s="35" t="s">
        <v>54</v>
      </c>
    </row>
    <row r="19" spans="2:2" ht="20" customHeight="1">
      <c r="B19" s="75">
        <f>B13/B16</f>
        <v>4.5766204283788436</v>
      </c>
    </row>
    <row r="21" spans="2:2" ht="20" customHeight="1">
      <c r="B21" s="8" t="s">
        <v>45</v>
      </c>
    </row>
    <row r="22" spans="2:2" ht="20" customHeight="1">
      <c r="B22" s="15">
        <f>_xlfn.T.DIST.2T(ABS(B19),6)</f>
        <v>3.7839745707553187E-3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373DF-B7BC-AC48-A7AC-5EBF8F3255A9}">
  <dimension ref="B3:K20"/>
  <sheetViews>
    <sheetView zoomScaleNormal="100" workbookViewId="0">
      <selection activeCell="K34" sqref="K34"/>
    </sheetView>
  </sheetViews>
  <sheetFormatPr baseColWidth="10" defaultColWidth="11.5703125" defaultRowHeight="20" customHeight="1"/>
  <cols>
    <col min="1" max="1" width="11.5703125" style="8"/>
    <col min="2" max="2" width="8.7109375" style="8" bestFit="1" customWidth="1"/>
    <col min="3" max="3" width="6.85546875" style="8" bestFit="1" customWidth="1"/>
    <col min="4" max="6" width="11.5703125" style="8"/>
    <col min="7" max="7" width="11.5703125" style="8" customWidth="1"/>
    <col min="8" max="16384" width="11.5703125" style="8"/>
  </cols>
  <sheetData>
    <row r="3" spans="2:11" ht="20" customHeight="1">
      <c r="B3" s="11" t="s">
        <v>12</v>
      </c>
      <c r="C3" s="11"/>
      <c r="F3" s="8" t="s">
        <v>11</v>
      </c>
      <c r="G3" s="8" t="s">
        <v>10</v>
      </c>
    </row>
    <row r="4" spans="2:11" ht="20" customHeight="1">
      <c r="B4" s="11">
        <v>1</v>
      </c>
      <c r="C4" s="11" t="s">
        <v>5</v>
      </c>
      <c r="E4" s="11" t="s">
        <v>5</v>
      </c>
      <c r="F4" s="11">
        <f>COUNTIF(C4:C13,"犬派")</f>
        <v>2</v>
      </c>
      <c r="G4" s="18">
        <f>F4/SUM($F$4:$F$5)</f>
        <v>0.2</v>
      </c>
    </row>
    <row r="5" spans="2:11" ht="20" customHeight="1">
      <c r="B5" s="11">
        <v>2</v>
      </c>
      <c r="C5" s="11" t="s">
        <v>1</v>
      </c>
      <c r="E5" s="11" t="s">
        <v>1</v>
      </c>
      <c r="F5" s="11">
        <f>COUNTIF(C4:C13,"ネコ派")</f>
        <v>8</v>
      </c>
      <c r="G5" s="18">
        <f>F5/SUM($F$4:$F$5)</f>
        <v>0.8</v>
      </c>
    </row>
    <row r="6" spans="2:11" ht="20" customHeight="1">
      <c r="B6" s="11">
        <v>3</v>
      </c>
      <c r="C6" s="11" t="s">
        <v>1</v>
      </c>
    </row>
    <row r="7" spans="2:11" ht="20" customHeight="1">
      <c r="B7" s="11">
        <v>4</v>
      </c>
      <c r="C7" s="11" t="s">
        <v>1</v>
      </c>
      <c r="E7" s="8" t="s">
        <v>46</v>
      </c>
    </row>
    <row r="8" spans="2:11" ht="20" customHeight="1">
      <c r="B8" s="11">
        <v>5</v>
      </c>
      <c r="C8" s="11" t="s">
        <v>1</v>
      </c>
      <c r="E8" s="8" t="s">
        <v>9</v>
      </c>
      <c r="F8" s="8" t="s">
        <v>8</v>
      </c>
      <c r="G8" s="10" t="s">
        <v>7</v>
      </c>
      <c r="H8" s="8" t="s">
        <v>6</v>
      </c>
    </row>
    <row r="9" spans="2:11" ht="20" customHeight="1">
      <c r="B9" s="11">
        <v>6</v>
      </c>
      <c r="C9" s="11" t="s">
        <v>1</v>
      </c>
      <c r="E9" s="11">
        <v>0</v>
      </c>
      <c r="F9" s="53">
        <f>COMBIN(10,E9)*0.5^10</f>
        <v>9.765625E-4</v>
      </c>
      <c r="G9" s="13"/>
      <c r="H9" s="13" t="s">
        <v>0</v>
      </c>
    </row>
    <row r="10" spans="2:11" ht="20" customHeight="1">
      <c r="B10" s="11">
        <v>7</v>
      </c>
      <c r="C10" s="11" t="s">
        <v>5</v>
      </c>
      <c r="E10" s="11">
        <v>1</v>
      </c>
      <c r="F10" s="53">
        <f t="shared" ref="F10:F19" si="0">COMBIN(10,E10)*0.5^10</f>
        <v>9.765625E-3</v>
      </c>
      <c r="G10" s="13"/>
      <c r="H10" s="13" t="s">
        <v>0</v>
      </c>
      <c r="J10" s="8" t="s">
        <v>45</v>
      </c>
    </row>
    <row r="11" spans="2:11" ht="20" customHeight="1">
      <c r="B11" s="11">
        <v>8</v>
      </c>
      <c r="C11" s="11" t="s">
        <v>1</v>
      </c>
      <c r="E11" s="11">
        <v>2</v>
      </c>
      <c r="F11" s="53">
        <f t="shared" si="0"/>
        <v>4.39453125E-2</v>
      </c>
      <c r="G11" s="13" t="s">
        <v>4</v>
      </c>
      <c r="H11" s="13" t="s">
        <v>0</v>
      </c>
      <c r="I11" s="14" t="s">
        <v>3</v>
      </c>
      <c r="J11" s="15">
        <f>SUMIF(H9:H19,"☆",F9:F19)</f>
        <v>0.109375</v>
      </c>
      <c r="K11" s="78" t="s">
        <v>24</v>
      </c>
    </row>
    <row r="12" spans="2:11" ht="20" customHeight="1">
      <c r="B12" s="11">
        <v>9</v>
      </c>
      <c r="C12" s="11" t="s">
        <v>1</v>
      </c>
      <c r="E12" s="11">
        <v>3</v>
      </c>
      <c r="F12" s="53">
        <f t="shared" si="0"/>
        <v>0.1171875</v>
      </c>
      <c r="G12" s="13"/>
      <c r="H12" s="13"/>
    </row>
    <row r="13" spans="2:11" ht="20" customHeight="1">
      <c r="B13" s="11">
        <v>10</v>
      </c>
      <c r="C13" s="11" t="s">
        <v>1</v>
      </c>
      <c r="E13" s="11">
        <v>4</v>
      </c>
      <c r="F13" s="53">
        <f t="shared" si="0"/>
        <v>0.20507812499999997</v>
      </c>
      <c r="G13" s="13"/>
      <c r="H13" s="13"/>
    </row>
    <row r="14" spans="2:11" ht="20" customHeight="1">
      <c r="B14" s="19"/>
      <c r="C14" s="19"/>
      <c r="E14" s="11">
        <v>5</v>
      </c>
      <c r="F14" s="53">
        <f t="shared" si="0"/>
        <v>0.24609375</v>
      </c>
      <c r="G14" s="13"/>
      <c r="H14" s="13"/>
      <c r="J14" s="1"/>
    </row>
    <row r="15" spans="2:11" ht="20" customHeight="1">
      <c r="B15" s="19"/>
      <c r="C15" s="19"/>
      <c r="E15" s="11">
        <v>6</v>
      </c>
      <c r="F15" s="53">
        <f t="shared" si="0"/>
        <v>0.20507812499999997</v>
      </c>
      <c r="G15" s="13"/>
      <c r="H15" s="13"/>
      <c r="K15" s="1"/>
    </row>
    <row r="16" spans="2:11" ht="20" customHeight="1">
      <c r="B16" s="19"/>
      <c r="C16" s="19"/>
      <c r="E16" s="11">
        <v>7</v>
      </c>
      <c r="F16" s="53">
        <f t="shared" si="0"/>
        <v>0.1171875</v>
      </c>
      <c r="G16" s="13"/>
      <c r="H16" s="13"/>
      <c r="J16" s="1"/>
    </row>
    <row r="17" spans="5:11" ht="20" customHeight="1">
      <c r="E17" s="11">
        <v>8</v>
      </c>
      <c r="F17" s="53">
        <f t="shared" si="0"/>
        <v>4.39453125E-2</v>
      </c>
      <c r="G17" s="13"/>
      <c r="H17" s="13" t="s">
        <v>0</v>
      </c>
      <c r="J17" s="1"/>
      <c r="K17" s="1"/>
    </row>
    <row r="18" spans="5:11" ht="20" customHeight="1">
      <c r="E18" s="11">
        <v>9</v>
      </c>
      <c r="F18" s="53">
        <f t="shared" si="0"/>
        <v>9.765625E-3</v>
      </c>
      <c r="G18" s="13"/>
      <c r="H18" s="13" t="s">
        <v>0</v>
      </c>
      <c r="J18" s="1"/>
      <c r="K18" s="17"/>
    </row>
    <row r="19" spans="5:11" ht="20" customHeight="1">
      <c r="E19" s="11">
        <v>10</v>
      </c>
      <c r="F19" s="53">
        <f t="shared" si="0"/>
        <v>9.765625E-4</v>
      </c>
      <c r="G19" s="13"/>
      <c r="H19" s="13" t="s">
        <v>0</v>
      </c>
      <c r="J19" s="1"/>
      <c r="K19" s="17"/>
    </row>
    <row r="20" spans="5:11" ht="20" customHeight="1">
      <c r="J20" s="1"/>
      <c r="K20" s="17"/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64DB3-AE95-4940-9C5D-2EFBB0B17AF1}">
  <dimension ref="B2:K23"/>
  <sheetViews>
    <sheetView workbookViewId="0">
      <selection activeCell="D48" sqref="D48"/>
    </sheetView>
  </sheetViews>
  <sheetFormatPr baseColWidth="10" defaultRowHeight="20" customHeight="1"/>
  <cols>
    <col min="1" max="16384" width="10.7109375" style="8"/>
  </cols>
  <sheetData>
    <row r="2" spans="2:11" ht="20" customHeight="1">
      <c r="B2" s="2" t="s">
        <v>25</v>
      </c>
      <c r="C2" s="2"/>
      <c r="D2" s="2"/>
      <c r="E2" s="2"/>
      <c r="F2" s="1"/>
      <c r="G2" s="1"/>
      <c r="H2" s="2" t="s">
        <v>26</v>
      </c>
      <c r="I2" s="2"/>
      <c r="J2" s="2"/>
      <c r="K2" s="2"/>
    </row>
    <row r="3" spans="2:11" ht="20" customHeight="1">
      <c r="B3" s="3"/>
      <c r="C3" s="2" t="s">
        <v>27</v>
      </c>
      <c r="D3" s="2" t="s">
        <v>28</v>
      </c>
      <c r="E3" s="2" t="s">
        <v>29</v>
      </c>
      <c r="F3" s="1"/>
      <c r="G3" s="1"/>
      <c r="H3" s="3"/>
      <c r="I3" s="2" t="s">
        <v>27</v>
      </c>
      <c r="J3" s="2" t="s">
        <v>28</v>
      </c>
      <c r="K3" s="2" t="s">
        <v>29</v>
      </c>
    </row>
    <row r="4" spans="2:11" ht="20" customHeight="1">
      <c r="B4" s="1" t="s">
        <v>32</v>
      </c>
      <c r="C4" s="1">
        <v>65</v>
      </c>
      <c r="D4" s="1">
        <v>35</v>
      </c>
      <c r="E4" s="41">
        <f>SUM(C4:D4)</f>
        <v>100</v>
      </c>
      <c r="F4" s="1"/>
      <c r="G4" s="1"/>
      <c r="H4" s="1" t="s">
        <v>32</v>
      </c>
      <c r="I4" s="47">
        <f t="shared" ref="I4:K5" si="0">C4/$E4</f>
        <v>0.65</v>
      </c>
      <c r="J4" s="47">
        <f t="shared" si="0"/>
        <v>0.35</v>
      </c>
      <c r="K4" s="9">
        <f t="shared" si="0"/>
        <v>1</v>
      </c>
    </row>
    <row r="5" spans="2:11" ht="20" customHeight="1">
      <c r="B5" s="2" t="s">
        <v>33</v>
      </c>
      <c r="C5" s="1">
        <v>85</v>
      </c>
      <c r="D5" s="1">
        <v>115</v>
      </c>
      <c r="E5" s="42">
        <f>SUM(C5:D5)</f>
        <v>200</v>
      </c>
      <c r="F5" s="1"/>
      <c r="G5" s="1"/>
      <c r="H5" s="2" t="s">
        <v>33</v>
      </c>
      <c r="I5" s="47">
        <f t="shared" si="0"/>
        <v>0.42499999999999999</v>
      </c>
      <c r="J5" s="47">
        <f t="shared" si="0"/>
        <v>0.57499999999999996</v>
      </c>
      <c r="K5" s="9">
        <f t="shared" si="0"/>
        <v>1</v>
      </c>
    </row>
    <row r="6" spans="2:11" ht="20" customHeight="1">
      <c r="B6" s="4" t="s">
        <v>29</v>
      </c>
      <c r="C6" s="40">
        <f>SUM(C4:C5)</f>
        <v>150</v>
      </c>
      <c r="D6" s="40">
        <f>SUM(D4:D5)</f>
        <v>150</v>
      </c>
      <c r="E6" s="40">
        <f>SUM(E4:E5)</f>
        <v>300</v>
      </c>
      <c r="F6" s="1"/>
      <c r="G6" s="1"/>
      <c r="H6" s="1"/>
      <c r="I6" s="5"/>
      <c r="J6" s="5"/>
      <c r="K6" s="5"/>
    </row>
    <row r="7" spans="2:11" ht="20" customHeight="1">
      <c r="B7" s="1"/>
      <c r="C7" s="1"/>
      <c r="D7" s="1"/>
      <c r="E7" s="1"/>
      <c r="F7" s="1"/>
      <c r="G7" s="1"/>
      <c r="H7" s="1"/>
      <c r="I7" s="1"/>
      <c r="J7" s="1"/>
      <c r="K7" s="1"/>
    </row>
    <row r="8" spans="2:11" ht="20" customHeight="1">
      <c r="B8" s="2" t="s">
        <v>30</v>
      </c>
      <c r="C8" s="2"/>
      <c r="D8" s="2"/>
      <c r="E8" s="2"/>
      <c r="F8" s="1"/>
      <c r="G8" s="1"/>
      <c r="H8" s="1"/>
      <c r="I8" s="1"/>
      <c r="J8" s="1"/>
      <c r="K8" s="1"/>
    </row>
    <row r="9" spans="2:11" ht="20" customHeight="1">
      <c r="B9" s="3"/>
      <c r="C9" s="2" t="s">
        <v>27</v>
      </c>
      <c r="D9" s="2" t="s">
        <v>28</v>
      </c>
      <c r="E9" s="2" t="s">
        <v>29</v>
      </c>
      <c r="F9" s="1"/>
      <c r="G9" s="1"/>
      <c r="H9" s="1"/>
      <c r="I9" s="1"/>
      <c r="J9" s="1"/>
      <c r="K9" s="1"/>
    </row>
    <row r="10" spans="2:11" ht="20" customHeight="1">
      <c r="B10" s="1" t="s">
        <v>32</v>
      </c>
      <c r="C10" s="41">
        <f>$E10*C$12/$E$12</f>
        <v>50</v>
      </c>
      <c r="D10" s="41">
        <f>$E10*D$12/$E$12</f>
        <v>50</v>
      </c>
      <c r="E10" s="41">
        <f>E4</f>
        <v>100</v>
      </c>
      <c r="F10" s="1"/>
      <c r="G10" s="1"/>
      <c r="H10" s="1"/>
      <c r="I10" s="1"/>
      <c r="J10" s="1"/>
      <c r="K10" s="1"/>
    </row>
    <row r="11" spans="2:11" ht="20" customHeight="1">
      <c r="B11" s="2" t="s">
        <v>33</v>
      </c>
      <c r="C11" s="42">
        <f>$E11*C$12/$E$12</f>
        <v>100</v>
      </c>
      <c r="D11" s="42">
        <f>$E11*D$12/$E$12</f>
        <v>100</v>
      </c>
      <c r="E11" s="42">
        <f>E5</f>
        <v>200</v>
      </c>
      <c r="F11" s="1"/>
      <c r="G11" s="1"/>
      <c r="H11" s="1"/>
      <c r="I11" s="1"/>
      <c r="J11" s="1"/>
      <c r="K11" s="1"/>
    </row>
    <row r="12" spans="2:11" ht="20" customHeight="1">
      <c r="B12" s="2" t="s">
        <v>29</v>
      </c>
      <c r="C12" s="40">
        <f>C6</f>
        <v>150</v>
      </c>
      <c r="D12" s="40">
        <f>D6</f>
        <v>150</v>
      </c>
      <c r="E12" s="40">
        <f>E6</f>
        <v>300</v>
      </c>
      <c r="F12" s="1"/>
      <c r="G12" s="1"/>
      <c r="H12" s="1"/>
      <c r="I12" s="1"/>
      <c r="J12" s="1"/>
      <c r="K12" s="1"/>
    </row>
    <row r="13" spans="2:11" ht="20" customHeight="1"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2:11" ht="20" customHeight="1">
      <c r="B14" s="2" t="s">
        <v>31</v>
      </c>
      <c r="C14" s="2"/>
      <c r="D14" s="2"/>
      <c r="E14" s="1"/>
      <c r="F14" s="1"/>
      <c r="G14" s="1"/>
      <c r="H14" s="1"/>
      <c r="I14" s="1"/>
      <c r="J14" s="1"/>
      <c r="K14" s="1"/>
    </row>
    <row r="15" spans="2:11" ht="20" customHeight="1">
      <c r="B15" s="3"/>
      <c r="C15" s="2" t="s">
        <v>27</v>
      </c>
      <c r="D15" s="2" t="s">
        <v>28</v>
      </c>
      <c r="E15" s="1"/>
      <c r="F15" s="1"/>
      <c r="G15" s="1"/>
      <c r="H15" s="1"/>
      <c r="I15" s="1"/>
      <c r="J15" s="1"/>
      <c r="K15" s="1"/>
    </row>
    <row r="16" spans="2:11" ht="20" customHeight="1">
      <c r="B16" s="1" t="s">
        <v>32</v>
      </c>
      <c r="C16" s="43">
        <f>(C4-C10)^2/C10</f>
        <v>4.5</v>
      </c>
      <c r="D16" s="43">
        <f>(D4-D10)^2/D10</f>
        <v>4.5</v>
      </c>
      <c r="E16" s="1"/>
      <c r="F16" s="1"/>
      <c r="G16" s="1"/>
      <c r="H16" s="1"/>
      <c r="I16" s="1"/>
      <c r="J16" s="1"/>
      <c r="K16" s="1"/>
    </row>
    <row r="17" spans="2:11" ht="20" customHeight="1">
      <c r="B17" s="2" t="s">
        <v>33</v>
      </c>
      <c r="C17" s="44">
        <f>(C5-C11)^2/C11</f>
        <v>2.25</v>
      </c>
      <c r="D17" s="44">
        <f>(D5-D11)^2/D11</f>
        <v>2.25</v>
      </c>
      <c r="E17" s="1"/>
      <c r="F17" s="1"/>
      <c r="G17" s="1"/>
      <c r="H17" s="1"/>
      <c r="I17" s="1"/>
      <c r="J17" s="1"/>
      <c r="K17" s="1"/>
    </row>
    <row r="18" spans="2:11" ht="20" customHeight="1"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2:11" ht="20" customHeight="1">
      <c r="B19" s="1" t="s">
        <v>43</v>
      </c>
      <c r="C19" s="1"/>
      <c r="D19" s="1"/>
      <c r="E19" s="1"/>
      <c r="F19" s="1"/>
      <c r="G19" s="1"/>
      <c r="H19" s="1"/>
      <c r="I19" s="1"/>
      <c r="J19" s="1"/>
      <c r="K19" s="1"/>
    </row>
    <row r="20" spans="2:11" ht="20" customHeight="1">
      <c r="B20" s="45">
        <f>SUM(C16:D17)</f>
        <v>13.5</v>
      </c>
      <c r="C20" s="1"/>
      <c r="D20" s="1"/>
      <c r="E20" s="1"/>
      <c r="F20" s="1"/>
      <c r="G20" s="1"/>
      <c r="H20" s="1"/>
      <c r="I20" s="1"/>
      <c r="J20" s="1"/>
      <c r="K20" s="1"/>
    </row>
    <row r="21" spans="2:11" ht="20" customHeight="1"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2:11" ht="20" customHeight="1">
      <c r="B22" s="1" t="s">
        <v>42</v>
      </c>
      <c r="C22" s="1"/>
      <c r="D22" s="1"/>
      <c r="E22" s="1"/>
      <c r="F22" s="1"/>
      <c r="G22" s="1"/>
      <c r="H22" s="1"/>
      <c r="I22" s="1"/>
      <c r="J22" s="1"/>
      <c r="K22" s="1"/>
    </row>
    <row r="23" spans="2:11" ht="20" customHeight="1">
      <c r="B23" s="46">
        <f>_xlfn.CHISQ.DIST.RT(B20,1)</f>
        <v>2.3856345402870991E-4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14172-227F-694E-9971-510D7CF2E74E}">
  <dimension ref="B2:K26"/>
  <sheetViews>
    <sheetView workbookViewId="0">
      <selection activeCell="E56" sqref="E56"/>
    </sheetView>
  </sheetViews>
  <sheetFormatPr baseColWidth="10" defaultRowHeight="20" customHeight="1"/>
  <cols>
    <col min="1" max="16384" width="10.7109375" style="8"/>
  </cols>
  <sheetData>
    <row r="2" spans="2:11" ht="20" customHeight="1">
      <c r="B2" s="2" t="s">
        <v>25</v>
      </c>
      <c r="C2" s="2"/>
      <c r="D2" s="2"/>
      <c r="E2" s="2"/>
      <c r="F2" s="1"/>
      <c r="G2" s="1"/>
      <c r="H2" s="2" t="s">
        <v>26</v>
      </c>
      <c r="I2" s="2"/>
      <c r="J2" s="2"/>
      <c r="K2" s="2"/>
    </row>
    <row r="3" spans="2:11" ht="20" customHeight="1">
      <c r="B3" s="3"/>
      <c r="C3" s="2" t="s">
        <v>34</v>
      </c>
      <c r="D3" s="2" t="s">
        <v>35</v>
      </c>
      <c r="E3" s="2" t="s">
        <v>29</v>
      </c>
      <c r="F3" s="1"/>
      <c r="G3" s="1"/>
      <c r="H3" s="3"/>
      <c r="I3" s="2" t="s">
        <v>27</v>
      </c>
      <c r="J3" s="2" t="s">
        <v>28</v>
      </c>
      <c r="K3" s="2" t="s">
        <v>29</v>
      </c>
    </row>
    <row r="4" spans="2:11" ht="20" customHeight="1">
      <c r="B4" s="1" t="s">
        <v>36</v>
      </c>
      <c r="C4" s="1">
        <v>2</v>
      </c>
      <c r="D4" s="1">
        <v>2</v>
      </c>
      <c r="E4" s="41">
        <f>SUM(C4:D4)</f>
        <v>4</v>
      </c>
      <c r="F4" s="1"/>
      <c r="G4" s="1"/>
      <c r="H4" s="1" t="s">
        <v>38</v>
      </c>
      <c r="I4" s="47">
        <f>E4/E6</f>
        <v>0.2</v>
      </c>
      <c r="J4" s="47">
        <f>E5/E6</f>
        <v>0.8</v>
      </c>
      <c r="K4" s="9">
        <f>E4/$E4</f>
        <v>1</v>
      </c>
    </row>
    <row r="5" spans="2:11" ht="20" customHeight="1">
      <c r="B5" s="2" t="s">
        <v>37</v>
      </c>
      <c r="C5" s="1">
        <v>8</v>
      </c>
      <c r="D5" s="1">
        <v>8</v>
      </c>
      <c r="E5" s="42">
        <f>SUM(C5:D5)</f>
        <v>16</v>
      </c>
      <c r="F5" s="1"/>
      <c r="G5" s="1"/>
      <c r="H5" s="2" t="s">
        <v>39</v>
      </c>
      <c r="I5" s="47">
        <f>C6/E6</f>
        <v>0.5</v>
      </c>
      <c r="J5" s="47">
        <f>D6/E6</f>
        <v>0.5</v>
      </c>
      <c r="K5" s="9">
        <f>E5/$E5</f>
        <v>1</v>
      </c>
    </row>
    <row r="6" spans="2:11" ht="20" customHeight="1">
      <c r="B6" s="4" t="s">
        <v>29</v>
      </c>
      <c r="C6" s="40">
        <f>SUM(C4:C5)</f>
        <v>10</v>
      </c>
      <c r="D6" s="40">
        <f>SUM(D4:D5)</f>
        <v>10</v>
      </c>
      <c r="E6" s="40">
        <f>SUM(E4:E5)</f>
        <v>20</v>
      </c>
      <c r="F6" s="1"/>
      <c r="G6" s="1"/>
      <c r="H6" s="1"/>
      <c r="I6" s="5"/>
      <c r="J6" s="5"/>
      <c r="K6" s="5"/>
    </row>
    <row r="7" spans="2:11" ht="20" customHeight="1">
      <c r="B7" s="1"/>
      <c r="C7" s="1"/>
      <c r="D7" s="1"/>
      <c r="E7" s="1"/>
      <c r="F7" s="1"/>
      <c r="G7" s="1"/>
      <c r="H7" s="1"/>
      <c r="I7" s="1"/>
      <c r="J7" s="1"/>
      <c r="K7" s="1"/>
    </row>
    <row r="8" spans="2:11" ht="20" customHeight="1">
      <c r="B8" s="1"/>
      <c r="C8" s="2"/>
      <c r="D8" s="2"/>
      <c r="E8" s="1"/>
      <c r="F8" s="1"/>
      <c r="G8" s="1"/>
      <c r="H8" s="1"/>
      <c r="I8" s="1"/>
      <c r="J8" s="1"/>
      <c r="K8" s="1"/>
    </row>
    <row r="9" spans="2:11" ht="20" customHeight="1">
      <c r="B9" s="6"/>
      <c r="C9" s="2" t="s">
        <v>40</v>
      </c>
      <c r="D9" s="2" t="s">
        <v>41</v>
      </c>
      <c r="E9" s="1"/>
      <c r="F9" s="1"/>
      <c r="G9" s="1"/>
      <c r="H9" s="1"/>
      <c r="I9" s="1"/>
      <c r="J9" s="1"/>
      <c r="K9" s="1"/>
    </row>
    <row r="10" spans="2:11" ht="20" customHeight="1">
      <c r="B10" s="1"/>
      <c r="C10" s="54">
        <f>D4</f>
        <v>2</v>
      </c>
      <c r="D10" s="54">
        <f>C5</f>
        <v>8</v>
      </c>
      <c r="E10" s="1"/>
      <c r="F10" s="1"/>
      <c r="G10" s="1"/>
      <c r="H10" s="1"/>
      <c r="I10" s="1"/>
      <c r="J10" s="1"/>
      <c r="K10" s="1"/>
    </row>
    <row r="11" spans="2:11" ht="20" customHeight="1">
      <c r="B11" s="1"/>
      <c r="C11" s="1"/>
      <c r="D11" s="1"/>
      <c r="E11" s="1"/>
      <c r="F11" s="1"/>
      <c r="G11" s="1"/>
      <c r="H11" s="1"/>
      <c r="I11" s="1"/>
      <c r="J11" s="1"/>
      <c r="K11" s="1"/>
    </row>
    <row r="13" spans="2:11" ht="20" customHeight="1">
      <c r="B13" s="8" t="s">
        <v>44</v>
      </c>
    </row>
    <row r="14" spans="2:11" ht="20" customHeight="1">
      <c r="B14" s="8" t="s">
        <v>9</v>
      </c>
      <c r="C14" s="8" t="s">
        <v>8</v>
      </c>
      <c r="D14" s="10" t="s">
        <v>7</v>
      </c>
      <c r="E14" s="8" t="s">
        <v>6</v>
      </c>
    </row>
    <row r="15" spans="2:11" ht="20" customHeight="1">
      <c r="B15" s="11">
        <v>0</v>
      </c>
      <c r="C15" s="12">
        <f>COMBIN(10,B15)*0.5^10</f>
        <v>9.765625E-4</v>
      </c>
      <c r="D15" s="13"/>
      <c r="E15" s="13" t="s">
        <v>0</v>
      </c>
    </row>
    <row r="16" spans="2:11" ht="20" customHeight="1">
      <c r="B16" s="11">
        <v>1</v>
      </c>
      <c r="C16" s="12">
        <f t="shared" ref="C16:C25" si="0">COMBIN(10,B16)*0.5^10</f>
        <v>9.765625E-3</v>
      </c>
      <c r="D16" s="13"/>
      <c r="E16" s="13" t="s">
        <v>0</v>
      </c>
      <c r="G16" s="8" t="s">
        <v>45</v>
      </c>
    </row>
    <row r="17" spans="2:9" ht="20" customHeight="1">
      <c r="B17" s="11">
        <v>2</v>
      </c>
      <c r="C17" s="12">
        <f t="shared" si="0"/>
        <v>4.39453125E-2</v>
      </c>
      <c r="D17" s="13" t="s">
        <v>4</v>
      </c>
      <c r="E17" s="13" t="s">
        <v>0</v>
      </c>
      <c r="F17" s="14" t="s">
        <v>3</v>
      </c>
      <c r="G17" s="15">
        <f>SUMIF(E15:E25,"☆",C15:C25)</f>
        <v>0.109375</v>
      </c>
      <c r="I17" s="16"/>
    </row>
    <row r="18" spans="2:9" ht="20" customHeight="1">
      <c r="B18" s="11">
        <v>3</v>
      </c>
      <c r="C18" s="12">
        <f t="shared" si="0"/>
        <v>0.1171875</v>
      </c>
      <c r="D18" s="13"/>
      <c r="E18" s="13"/>
    </row>
    <row r="19" spans="2:9" ht="20" customHeight="1">
      <c r="B19" s="11">
        <v>4</v>
      </c>
      <c r="C19" s="12">
        <f t="shared" si="0"/>
        <v>0.20507812499999997</v>
      </c>
      <c r="D19" s="13"/>
      <c r="E19" s="13"/>
    </row>
    <row r="20" spans="2:9" ht="20" customHeight="1">
      <c r="B20" s="11">
        <v>5</v>
      </c>
      <c r="C20" s="12">
        <f t="shared" si="0"/>
        <v>0.24609375</v>
      </c>
      <c r="D20" s="13"/>
      <c r="E20" s="13"/>
      <c r="G20" s="1"/>
    </row>
    <row r="21" spans="2:9" ht="20" customHeight="1">
      <c r="B21" s="11">
        <v>6</v>
      </c>
      <c r="C21" s="12">
        <f t="shared" si="0"/>
        <v>0.20507812499999997</v>
      </c>
      <c r="D21" s="13"/>
      <c r="E21" s="13"/>
      <c r="H21" s="1"/>
    </row>
    <row r="22" spans="2:9" ht="20" customHeight="1">
      <c r="B22" s="11">
        <v>7</v>
      </c>
      <c r="C22" s="12">
        <f t="shared" si="0"/>
        <v>0.1171875</v>
      </c>
      <c r="D22" s="13"/>
      <c r="E22" s="13"/>
      <c r="G22" s="1"/>
    </row>
    <row r="23" spans="2:9" ht="20" customHeight="1">
      <c r="B23" s="11">
        <v>8</v>
      </c>
      <c r="C23" s="12">
        <f t="shared" si="0"/>
        <v>4.39453125E-2</v>
      </c>
      <c r="D23" s="13"/>
      <c r="E23" s="13" t="s">
        <v>0</v>
      </c>
      <c r="G23" s="1"/>
      <c r="H23" s="1"/>
    </row>
    <row r="24" spans="2:9" ht="20" customHeight="1">
      <c r="B24" s="11">
        <v>9</v>
      </c>
      <c r="C24" s="12">
        <f t="shared" si="0"/>
        <v>9.765625E-3</v>
      </c>
      <c r="D24" s="13"/>
      <c r="E24" s="13" t="s">
        <v>0</v>
      </c>
      <c r="G24" s="1"/>
      <c r="H24" s="17"/>
    </row>
    <row r="25" spans="2:9" ht="20" customHeight="1">
      <c r="B25" s="11">
        <v>10</v>
      </c>
      <c r="C25" s="12">
        <f t="shared" si="0"/>
        <v>9.765625E-4</v>
      </c>
      <c r="D25" s="13"/>
      <c r="E25" s="13" t="s">
        <v>0</v>
      </c>
      <c r="G25" s="1"/>
      <c r="H25" s="17"/>
    </row>
    <row r="26" spans="2:9" ht="20" customHeight="1">
      <c r="G26" s="1"/>
      <c r="H26" s="17"/>
    </row>
  </sheetData>
  <phoneticPr fontId="2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A34D7-F425-A841-A307-CEC88A279841}">
  <dimension ref="B2:E33"/>
  <sheetViews>
    <sheetView workbookViewId="0">
      <selection activeCell="C47" sqref="C47"/>
    </sheetView>
  </sheetViews>
  <sheetFormatPr baseColWidth="10" defaultRowHeight="20" customHeight="1"/>
  <cols>
    <col min="1" max="16384" width="10.7109375" style="7"/>
  </cols>
  <sheetData>
    <row r="2" spans="2:5" ht="20" customHeight="1">
      <c r="B2" s="11" t="s">
        <v>12</v>
      </c>
      <c r="C2" s="11" t="s">
        <v>55</v>
      </c>
      <c r="D2" s="11" t="s">
        <v>13</v>
      </c>
    </row>
    <row r="3" spans="2:5" ht="20" customHeight="1">
      <c r="B3" s="11">
        <v>1</v>
      </c>
      <c r="C3" s="11" t="s">
        <v>32</v>
      </c>
      <c r="D3" s="11">
        <v>400</v>
      </c>
    </row>
    <row r="4" spans="2:5" ht="20" customHeight="1">
      <c r="B4" s="11">
        <v>2</v>
      </c>
      <c r="C4" s="11" t="s">
        <v>32</v>
      </c>
      <c r="D4" s="11">
        <v>600</v>
      </c>
    </row>
    <row r="5" spans="2:5" ht="20" customHeight="1">
      <c r="B5" s="11">
        <v>3</v>
      </c>
      <c r="C5" s="11" t="s">
        <v>32</v>
      </c>
      <c r="D5" s="11">
        <v>700</v>
      </c>
    </row>
    <row r="6" spans="2:5" ht="20" customHeight="1">
      <c r="B6" s="11">
        <v>4</v>
      </c>
      <c r="C6" s="11" t="s">
        <v>32</v>
      </c>
      <c r="D6" s="11">
        <v>900</v>
      </c>
    </row>
    <row r="7" spans="2:5" ht="20" customHeight="1">
      <c r="B7" s="11">
        <v>5</v>
      </c>
      <c r="C7" s="11" t="s">
        <v>32</v>
      </c>
      <c r="D7" s="11">
        <v>900</v>
      </c>
    </row>
    <row r="8" spans="2:5" ht="20" customHeight="1">
      <c r="B8" s="11">
        <v>6</v>
      </c>
      <c r="C8" s="11" t="s">
        <v>33</v>
      </c>
      <c r="D8" s="11">
        <v>800</v>
      </c>
    </row>
    <row r="9" spans="2:5" ht="20" customHeight="1">
      <c r="B9" s="11">
        <v>7</v>
      </c>
      <c r="C9" s="11" t="s">
        <v>33</v>
      </c>
      <c r="D9" s="11">
        <v>800</v>
      </c>
    </row>
    <row r="10" spans="2:5" ht="20" customHeight="1">
      <c r="B10" s="11">
        <v>8</v>
      </c>
      <c r="C10" s="11" t="s">
        <v>33</v>
      </c>
      <c r="D10" s="11">
        <v>900</v>
      </c>
    </row>
    <row r="11" spans="2:5" ht="20" customHeight="1">
      <c r="B11" s="11">
        <v>9</v>
      </c>
      <c r="C11" s="11" t="s">
        <v>33</v>
      </c>
      <c r="D11" s="11">
        <v>1000</v>
      </c>
    </row>
    <row r="12" spans="2:5" ht="20" customHeight="1">
      <c r="B12" s="11">
        <v>10</v>
      </c>
      <c r="C12" s="11" t="s">
        <v>33</v>
      </c>
      <c r="D12" s="11">
        <v>1200</v>
      </c>
    </row>
    <row r="15" spans="2:5" ht="20" customHeight="1">
      <c r="B15" s="33" t="s">
        <v>49</v>
      </c>
      <c r="C15" s="33"/>
      <c r="D15" s="33"/>
      <c r="E15" s="33"/>
    </row>
    <row r="16" spans="2:5" ht="20" customHeight="1">
      <c r="B16" s="34"/>
      <c r="C16" s="33" t="s">
        <v>50</v>
      </c>
      <c r="D16" s="33" t="s">
        <v>51</v>
      </c>
      <c r="E16" s="33" t="s">
        <v>52</v>
      </c>
    </row>
    <row r="17" spans="2:5" ht="20" customHeight="1">
      <c r="B17" s="35" t="s">
        <v>56</v>
      </c>
      <c r="C17" s="37">
        <f>AVERAGE(D3:D7)</f>
        <v>700</v>
      </c>
      <c r="D17" s="37">
        <f>_xlfn.VAR.P(D3:D7)</f>
        <v>36000</v>
      </c>
      <c r="E17" s="37">
        <f>_xlfn.VAR.S(D3:D7)</f>
        <v>45000</v>
      </c>
    </row>
    <row r="18" spans="2:5" ht="20" customHeight="1">
      <c r="B18" s="33" t="s">
        <v>57</v>
      </c>
      <c r="C18" s="38">
        <f>AVERAGE(D8:D12)</f>
        <v>940</v>
      </c>
      <c r="D18" s="38">
        <f>_xlfn.VAR.P(D8:D12)</f>
        <v>22400</v>
      </c>
      <c r="E18" s="38">
        <f>_xlfn.VAR.S(D8:D12)</f>
        <v>28000</v>
      </c>
    </row>
    <row r="19" spans="2:5" ht="20" customHeight="1">
      <c r="B19" s="35"/>
      <c r="C19" s="35"/>
      <c r="D19" s="35"/>
      <c r="E19" s="35"/>
    </row>
    <row r="20" spans="2:5" ht="20" customHeight="1">
      <c r="B20" s="33" t="s">
        <v>58</v>
      </c>
      <c r="C20" s="35"/>
      <c r="D20" s="35"/>
      <c r="E20" s="35"/>
    </row>
    <row r="21" spans="2:5" ht="20" customHeight="1">
      <c r="B21" s="39">
        <f>C18-C17</f>
        <v>240</v>
      </c>
      <c r="C21" s="35"/>
      <c r="D21" s="35"/>
      <c r="E21" s="35"/>
    </row>
    <row r="22" spans="2:5" ht="20" customHeight="1">
      <c r="B22" s="36"/>
      <c r="C22" s="35"/>
      <c r="D22" s="35"/>
      <c r="E22" s="35"/>
    </row>
    <row r="23" spans="2:5" ht="20" customHeight="1">
      <c r="B23" s="33" t="s">
        <v>53</v>
      </c>
      <c r="C23" s="35"/>
      <c r="D23" s="35"/>
      <c r="E23" s="35"/>
    </row>
    <row r="24" spans="2:5" ht="20" customHeight="1">
      <c r="B24" s="39">
        <f>SQRT((E17/5)+(E18/5))</f>
        <v>120.83045973594572</v>
      </c>
      <c r="C24" s="35"/>
      <c r="D24" s="35"/>
      <c r="E24" s="35"/>
    </row>
    <row r="25" spans="2:5" ht="20" customHeight="1">
      <c r="B25" s="36"/>
      <c r="C25" s="35"/>
      <c r="D25" s="35"/>
      <c r="E25" s="35"/>
    </row>
    <row r="26" spans="2:5" ht="20" customHeight="1">
      <c r="B26" s="35" t="s">
        <v>54</v>
      </c>
      <c r="C26" s="35"/>
      <c r="D26" s="35"/>
      <c r="E26" s="35"/>
    </row>
    <row r="27" spans="2:5" ht="20" customHeight="1">
      <c r="B27" s="39">
        <f>B21/B24</f>
        <v>1.9862541326456831</v>
      </c>
      <c r="C27" s="35"/>
      <c r="D27" s="35"/>
      <c r="E27" s="35"/>
    </row>
    <row r="29" spans="2:5" ht="20" customHeight="1">
      <c r="B29" s="8" t="s">
        <v>45</v>
      </c>
    </row>
    <row r="30" spans="2:5" ht="20" customHeight="1">
      <c r="B30" s="55">
        <f>_xlfn.T.DIST.2T(B27,8)</f>
        <v>8.2248629693645617E-2</v>
      </c>
      <c r="C30" s="7" t="s">
        <v>59</v>
      </c>
    </row>
    <row r="31" spans="2:5" ht="20" customHeight="1">
      <c r="B31" s="8"/>
    </row>
    <row r="32" spans="2:5" ht="20" customHeight="1">
      <c r="B32" s="57" t="s">
        <v>68</v>
      </c>
    </row>
    <row r="33" spans="2:2" ht="20" customHeight="1">
      <c r="B33" s="53">
        <f>(B21/SQRT((5*D17+5*D18)/(5+5-2))*(1-(3/(4*(5+5-2)-1))))</f>
        <v>1.1346479870342696</v>
      </c>
    </row>
  </sheetData>
  <phoneticPr fontId="2"/>
  <pageMargins left="0.7" right="0.7" top="0.75" bottom="0.75" header="0.3" footer="0.3"/>
  <ignoredErrors>
    <ignoredError sqref="C17:E1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642A3-B782-2D4C-A4A7-41FE4B254069}">
  <dimension ref="B2:E29"/>
  <sheetViews>
    <sheetView workbookViewId="0">
      <selection activeCell="F21" sqref="F21"/>
    </sheetView>
  </sheetViews>
  <sheetFormatPr baseColWidth="10" defaultRowHeight="20" customHeight="1"/>
  <cols>
    <col min="1" max="16384" width="10.7109375" style="7"/>
  </cols>
  <sheetData>
    <row r="2" spans="2:5" ht="20" customHeight="1">
      <c r="B2" s="11" t="s">
        <v>12</v>
      </c>
      <c r="C2" s="11" t="s">
        <v>60</v>
      </c>
      <c r="D2" s="11" t="s">
        <v>61</v>
      </c>
      <c r="E2" s="11" t="s">
        <v>64</v>
      </c>
    </row>
    <row r="3" spans="2:5" ht="20" customHeight="1">
      <c r="B3" s="11">
        <v>1</v>
      </c>
      <c r="C3" s="11">
        <v>400</v>
      </c>
      <c r="D3" s="11">
        <v>800</v>
      </c>
      <c r="E3" s="11">
        <f>D3-C3</f>
        <v>400</v>
      </c>
    </row>
    <row r="4" spans="2:5" ht="20" customHeight="1">
      <c r="B4" s="11">
        <v>2</v>
      </c>
      <c r="C4" s="11">
        <v>600</v>
      </c>
      <c r="D4" s="11">
        <v>800</v>
      </c>
      <c r="E4" s="11">
        <f t="shared" ref="E4:E7" si="0">D4-C4</f>
        <v>200</v>
      </c>
    </row>
    <row r="5" spans="2:5" ht="20" customHeight="1">
      <c r="B5" s="11">
        <v>3</v>
      </c>
      <c r="C5" s="11">
        <v>700</v>
      </c>
      <c r="D5" s="11">
        <v>900</v>
      </c>
      <c r="E5" s="11">
        <f t="shared" si="0"/>
        <v>200</v>
      </c>
    </row>
    <row r="6" spans="2:5" ht="20" customHeight="1">
      <c r="B6" s="11">
        <v>4</v>
      </c>
      <c r="C6" s="11">
        <v>900</v>
      </c>
      <c r="D6" s="11">
        <v>1000</v>
      </c>
      <c r="E6" s="11">
        <f t="shared" si="0"/>
        <v>100</v>
      </c>
    </row>
    <row r="7" spans="2:5" ht="20" customHeight="1">
      <c r="B7" s="11">
        <v>5</v>
      </c>
      <c r="C7" s="11">
        <v>900</v>
      </c>
      <c r="D7" s="11">
        <v>1200</v>
      </c>
      <c r="E7" s="11">
        <f t="shared" si="0"/>
        <v>300</v>
      </c>
    </row>
    <row r="10" spans="2:5" ht="20" customHeight="1">
      <c r="B10" s="33" t="s">
        <v>49</v>
      </c>
      <c r="C10" s="33"/>
      <c r="D10" s="33"/>
      <c r="E10" s="33"/>
    </row>
    <row r="11" spans="2:5" ht="20" customHeight="1">
      <c r="B11" s="34"/>
      <c r="C11" s="33" t="s">
        <v>50</v>
      </c>
      <c r="D11" s="33" t="s">
        <v>51</v>
      </c>
      <c r="E11" s="33" t="s">
        <v>52</v>
      </c>
    </row>
    <row r="12" spans="2:5" ht="20" customHeight="1">
      <c r="B12" s="35" t="s">
        <v>62</v>
      </c>
      <c r="C12" s="37">
        <f>AVERAGE(C3:C7)</f>
        <v>700</v>
      </c>
      <c r="D12" s="37">
        <f>_xlfn.VAR.P(C3:C7)</f>
        <v>36000</v>
      </c>
      <c r="E12" s="37">
        <f>_xlfn.VAR.S(C3:C7)</f>
        <v>45000</v>
      </c>
    </row>
    <row r="13" spans="2:5" ht="20" customHeight="1">
      <c r="B13" s="35" t="s">
        <v>63</v>
      </c>
      <c r="C13" s="37">
        <f>AVERAGE(D3:D7)</f>
        <v>940</v>
      </c>
      <c r="D13" s="37">
        <f>_xlfn.VAR.P(D3:D7)</f>
        <v>22400</v>
      </c>
      <c r="E13" s="37">
        <f>_xlfn.VAR.S(D3:D7)</f>
        <v>28000</v>
      </c>
    </row>
    <row r="14" spans="2:5" ht="20" customHeight="1">
      <c r="B14" s="33" t="s">
        <v>64</v>
      </c>
      <c r="C14" s="38">
        <f>AVERAGE(E3:E7)</f>
        <v>240</v>
      </c>
      <c r="D14" s="38">
        <f>_xlfn.VAR.P(E3:E7)</f>
        <v>10400</v>
      </c>
      <c r="E14" s="38">
        <f>_xlfn.VAR.S(E3:E7)</f>
        <v>13000</v>
      </c>
    </row>
    <row r="15" spans="2:5" ht="20" customHeight="1">
      <c r="B15" s="35"/>
      <c r="C15" s="35"/>
      <c r="D15" s="35"/>
      <c r="E15" s="35"/>
    </row>
    <row r="16" spans="2:5" ht="20" customHeight="1">
      <c r="B16" s="33" t="s">
        <v>65</v>
      </c>
      <c r="C16" s="35"/>
      <c r="D16" s="35"/>
      <c r="E16" s="35"/>
    </row>
    <row r="17" spans="2:5" ht="20" customHeight="1">
      <c r="B17" s="39">
        <f>C14</f>
        <v>240</v>
      </c>
      <c r="C17" s="35"/>
      <c r="D17" s="35"/>
      <c r="E17" s="35"/>
    </row>
    <row r="18" spans="2:5" ht="20" customHeight="1">
      <c r="B18" s="36"/>
      <c r="C18" s="35"/>
      <c r="D18" s="35"/>
      <c r="E18" s="35"/>
    </row>
    <row r="19" spans="2:5" ht="20" customHeight="1">
      <c r="B19" s="33" t="s">
        <v>66</v>
      </c>
      <c r="C19" s="35"/>
      <c r="D19" s="35"/>
      <c r="E19" s="35"/>
    </row>
    <row r="20" spans="2:5" ht="20" customHeight="1">
      <c r="B20" s="39">
        <f>SQRT(E14/5)</f>
        <v>50.990195135927848</v>
      </c>
      <c r="C20" s="35"/>
      <c r="D20" s="35"/>
      <c r="E20" s="35"/>
    </row>
    <row r="21" spans="2:5" ht="20" customHeight="1">
      <c r="B21" s="36"/>
      <c r="C21" s="35"/>
      <c r="D21" s="35"/>
      <c r="E21" s="35"/>
    </row>
    <row r="22" spans="2:5" ht="20" customHeight="1">
      <c r="B22" s="35" t="s">
        <v>54</v>
      </c>
      <c r="C22" s="35"/>
      <c r="D22" s="35"/>
      <c r="E22" s="35"/>
    </row>
    <row r="23" spans="2:5" ht="20" customHeight="1">
      <c r="B23" s="39">
        <f>B17/B20</f>
        <v>4.7067872433164171</v>
      </c>
      <c r="C23" s="35"/>
      <c r="D23" s="35"/>
      <c r="E23" s="35"/>
    </row>
    <row r="25" spans="2:5" ht="20" customHeight="1">
      <c r="B25" s="8" t="s">
        <v>45</v>
      </c>
    </row>
    <row r="26" spans="2:5" ht="20" customHeight="1">
      <c r="B26" s="15">
        <f>_xlfn.T.DIST.2T(B23,4)</f>
        <v>9.2616967595144165E-3</v>
      </c>
    </row>
    <row r="27" spans="2:5" ht="20" customHeight="1">
      <c r="B27" s="8"/>
    </row>
    <row r="28" spans="2:5" ht="20" customHeight="1">
      <c r="B28" s="57" t="s">
        <v>67</v>
      </c>
    </row>
    <row r="29" spans="2:5" ht="20" customHeight="1">
      <c r="B29" s="53">
        <f>C14/SQRT(E14)</f>
        <v>2.1049392463368704</v>
      </c>
    </row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79747-698E-5F41-90F1-DFD2C1D0FC22}">
  <dimension ref="B2:J35"/>
  <sheetViews>
    <sheetView workbookViewId="0">
      <selection activeCell="G55" sqref="G55"/>
    </sheetView>
  </sheetViews>
  <sheetFormatPr baseColWidth="10" defaultRowHeight="20" customHeight="1"/>
  <cols>
    <col min="1" max="5" width="10.7109375" style="8"/>
    <col min="6" max="6" width="10.7109375" style="8" customWidth="1"/>
    <col min="7" max="16384" width="10.7109375" style="8"/>
  </cols>
  <sheetData>
    <row r="2" spans="2:10" ht="20" customHeight="1">
      <c r="B2" s="11" t="s">
        <v>12</v>
      </c>
      <c r="C2" s="11" t="s">
        <v>69</v>
      </c>
      <c r="D2" s="11" t="s">
        <v>70</v>
      </c>
      <c r="F2" s="8" t="s">
        <v>101</v>
      </c>
      <c r="H2" s="8" t="s">
        <v>102</v>
      </c>
      <c r="J2" s="8" t="s">
        <v>103</v>
      </c>
    </row>
    <row r="3" spans="2:10" ht="20" customHeight="1">
      <c r="B3" s="11">
        <v>1</v>
      </c>
      <c r="C3" s="11" t="s">
        <v>71</v>
      </c>
      <c r="D3" s="11">
        <v>3</v>
      </c>
      <c r="F3" s="11">
        <f>AVERAGE($D$3:$D$17)</f>
        <v>4</v>
      </c>
      <c r="H3" s="69">
        <f>$C$22-$C$25</f>
        <v>1</v>
      </c>
      <c r="J3" s="69">
        <f>D3-F3-H3</f>
        <v>-2</v>
      </c>
    </row>
    <row r="4" spans="2:10" ht="20" customHeight="1">
      <c r="B4" s="11">
        <v>2</v>
      </c>
      <c r="C4" s="11" t="s">
        <v>71</v>
      </c>
      <c r="D4" s="11">
        <v>4</v>
      </c>
      <c r="F4" s="11">
        <f t="shared" ref="F4:F17" si="0">AVERAGE($D$3:$D$17)</f>
        <v>4</v>
      </c>
      <c r="H4" s="69">
        <f t="shared" ref="H4:H7" si="1">$C$22-$C$25</f>
        <v>1</v>
      </c>
      <c r="J4" s="69">
        <f t="shared" ref="J4:J17" si="2">D4-F4-H4</f>
        <v>-1</v>
      </c>
    </row>
    <row r="5" spans="2:10" ht="20" customHeight="1">
      <c r="B5" s="11">
        <v>3</v>
      </c>
      <c r="C5" s="11" t="s">
        <v>71</v>
      </c>
      <c r="D5" s="11">
        <v>5</v>
      </c>
      <c r="E5" s="67" t="s">
        <v>94</v>
      </c>
      <c r="F5" s="11">
        <f t="shared" si="0"/>
        <v>4</v>
      </c>
      <c r="G5" s="67" t="s">
        <v>96</v>
      </c>
      <c r="H5" s="69">
        <f t="shared" si="1"/>
        <v>1</v>
      </c>
      <c r="I5" s="67" t="s">
        <v>96</v>
      </c>
      <c r="J5" s="69">
        <f t="shared" si="2"/>
        <v>0</v>
      </c>
    </row>
    <row r="6" spans="2:10" ht="20" customHeight="1">
      <c r="B6" s="11">
        <v>4</v>
      </c>
      <c r="C6" s="11" t="s">
        <v>71</v>
      </c>
      <c r="D6" s="11">
        <v>6</v>
      </c>
      <c r="F6" s="11">
        <f t="shared" si="0"/>
        <v>4</v>
      </c>
      <c r="H6" s="69">
        <f t="shared" si="1"/>
        <v>1</v>
      </c>
      <c r="J6" s="69">
        <f t="shared" si="2"/>
        <v>1</v>
      </c>
    </row>
    <row r="7" spans="2:10" ht="20" customHeight="1">
      <c r="B7" s="11">
        <v>5</v>
      </c>
      <c r="C7" s="11" t="s">
        <v>71</v>
      </c>
      <c r="D7" s="11">
        <v>7</v>
      </c>
      <c r="F7" s="11">
        <f t="shared" si="0"/>
        <v>4</v>
      </c>
      <c r="H7" s="69">
        <f t="shared" si="1"/>
        <v>1</v>
      </c>
      <c r="J7" s="69">
        <f t="shared" si="2"/>
        <v>2</v>
      </c>
    </row>
    <row r="8" spans="2:10" ht="20" customHeight="1">
      <c r="B8" s="11">
        <v>6</v>
      </c>
      <c r="C8" s="11" t="s">
        <v>72</v>
      </c>
      <c r="D8" s="11">
        <v>2</v>
      </c>
      <c r="F8" s="11">
        <f t="shared" si="0"/>
        <v>4</v>
      </c>
      <c r="H8" s="69">
        <f>$C$23-$C$25</f>
        <v>0</v>
      </c>
      <c r="J8" s="69">
        <f t="shared" si="2"/>
        <v>-2</v>
      </c>
    </row>
    <row r="9" spans="2:10" ht="20" customHeight="1">
      <c r="B9" s="11">
        <v>7</v>
      </c>
      <c r="C9" s="11" t="s">
        <v>72</v>
      </c>
      <c r="D9" s="11">
        <v>3</v>
      </c>
      <c r="F9" s="11">
        <f t="shared" si="0"/>
        <v>4</v>
      </c>
      <c r="H9" s="69">
        <f t="shared" ref="H9:H12" si="3">$C$23-$C$25</f>
        <v>0</v>
      </c>
      <c r="J9" s="69">
        <f t="shared" si="2"/>
        <v>-1</v>
      </c>
    </row>
    <row r="10" spans="2:10" ht="20" customHeight="1">
      <c r="B10" s="11">
        <v>8</v>
      </c>
      <c r="C10" s="11" t="s">
        <v>72</v>
      </c>
      <c r="D10" s="11">
        <v>4</v>
      </c>
      <c r="F10" s="11">
        <f t="shared" si="0"/>
        <v>4</v>
      </c>
      <c r="H10" s="69">
        <f t="shared" si="3"/>
        <v>0</v>
      </c>
      <c r="J10" s="69">
        <f t="shared" si="2"/>
        <v>0</v>
      </c>
    </row>
    <row r="11" spans="2:10" ht="20" customHeight="1">
      <c r="B11" s="11">
        <v>9</v>
      </c>
      <c r="C11" s="11" t="s">
        <v>72</v>
      </c>
      <c r="D11" s="11">
        <v>5</v>
      </c>
      <c r="F11" s="11">
        <f t="shared" si="0"/>
        <v>4</v>
      </c>
      <c r="H11" s="69">
        <f t="shared" si="3"/>
        <v>0</v>
      </c>
      <c r="J11" s="69">
        <f t="shared" si="2"/>
        <v>1</v>
      </c>
    </row>
    <row r="12" spans="2:10" ht="20" customHeight="1">
      <c r="B12" s="11">
        <v>10</v>
      </c>
      <c r="C12" s="11" t="s">
        <v>72</v>
      </c>
      <c r="D12" s="11">
        <v>6</v>
      </c>
      <c r="F12" s="11">
        <f t="shared" si="0"/>
        <v>4</v>
      </c>
      <c r="H12" s="69">
        <f t="shared" si="3"/>
        <v>0</v>
      </c>
      <c r="J12" s="69">
        <f t="shared" si="2"/>
        <v>2</v>
      </c>
    </row>
    <row r="13" spans="2:10" ht="20" customHeight="1">
      <c r="B13" s="11">
        <v>11</v>
      </c>
      <c r="C13" s="11" t="s">
        <v>73</v>
      </c>
      <c r="D13" s="11">
        <v>1</v>
      </c>
      <c r="F13" s="11">
        <f t="shared" si="0"/>
        <v>4</v>
      </c>
      <c r="H13" s="69">
        <f>$C$24-$C$25</f>
        <v>-1</v>
      </c>
      <c r="J13" s="69">
        <f t="shared" si="2"/>
        <v>-2</v>
      </c>
    </row>
    <row r="14" spans="2:10" ht="20" customHeight="1">
      <c r="B14" s="11">
        <v>12</v>
      </c>
      <c r="C14" s="11" t="s">
        <v>73</v>
      </c>
      <c r="D14" s="11">
        <v>2</v>
      </c>
      <c r="F14" s="11">
        <f t="shared" si="0"/>
        <v>4</v>
      </c>
      <c r="H14" s="69">
        <f t="shared" ref="H14:H17" si="4">$C$24-$C$25</f>
        <v>-1</v>
      </c>
      <c r="J14" s="69">
        <f t="shared" si="2"/>
        <v>-1</v>
      </c>
    </row>
    <row r="15" spans="2:10" ht="20" customHeight="1">
      <c r="B15" s="11">
        <v>13</v>
      </c>
      <c r="C15" s="11" t="s">
        <v>73</v>
      </c>
      <c r="D15" s="11">
        <v>3</v>
      </c>
      <c r="F15" s="11">
        <f t="shared" si="0"/>
        <v>4</v>
      </c>
      <c r="H15" s="69">
        <f t="shared" si="4"/>
        <v>-1</v>
      </c>
      <c r="J15" s="69">
        <f t="shared" si="2"/>
        <v>0</v>
      </c>
    </row>
    <row r="16" spans="2:10" ht="20" customHeight="1">
      <c r="B16" s="11">
        <v>14</v>
      </c>
      <c r="C16" s="11" t="s">
        <v>73</v>
      </c>
      <c r="D16" s="11">
        <v>4</v>
      </c>
      <c r="F16" s="11">
        <f t="shared" si="0"/>
        <v>4</v>
      </c>
      <c r="H16" s="69">
        <f t="shared" si="4"/>
        <v>-1</v>
      </c>
      <c r="J16" s="69">
        <f t="shared" si="2"/>
        <v>1</v>
      </c>
    </row>
    <row r="17" spans="2:10" ht="20" customHeight="1">
      <c r="B17" s="11">
        <v>15</v>
      </c>
      <c r="C17" s="11" t="s">
        <v>73</v>
      </c>
      <c r="D17" s="11">
        <v>5</v>
      </c>
      <c r="F17" s="11">
        <f t="shared" si="0"/>
        <v>4</v>
      </c>
      <c r="H17" s="69">
        <f t="shared" si="4"/>
        <v>-1</v>
      </c>
      <c r="J17" s="69">
        <f t="shared" si="2"/>
        <v>2</v>
      </c>
    </row>
    <row r="20" spans="2:10" ht="20" customHeight="1">
      <c r="B20" s="33" t="s">
        <v>49</v>
      </c>
      <c r="C20" s="33"/>
      <c r="D20" s="33"/>
      <c r="E20" s="33"/>
    </row>
    <row r="21" spans="2:10" ht="20" customHeight="1">
      <c r="B21" s="34"/>
      <c r="C21" s="33" t="s">
        <v>50</v>
      </c>
      <c r="D21" s="33" t="s">
        <v>51</v>
      </c>
      <c r="E21" s="33" t="s">
        <v>78</v>
      </c>
    </row>
    <row r="22" spans="2:10" ht="20" customHeight="1">
      <c r="B22" s="35" t="s">
        <v>74</v>
      </c>
      <c r="C22" s="37">
        <f>AVERAGE(D3:D7)</f>
        <v>5</v>
      </c>
      <c r="D22" s="37">
        <f>_xlfn.VAR.P(D3:D7)</f>
        <v>2</v>
      </c>
      <c r="E22" s="37">
        <f>_xlfn.VAR.S(D3:D7)</f>
        <v>2.5</v>
      </c>
    </row>
    <row r="23" spans="2:10" ht="20" customHeight="1">
      <c r="B23" s="35" t="s">
        <v>75</v>
      </c>
      <c r="C23" s="37">
        <f>AVERAGE(D8:D12)</f>
        <v>4</v>
      </c>
      <c r="D23" s="37">
        <f>_xlfn.VAR.P(D8:D12)</f>
        <v>2</v>
      </c>
      <c r="E23" s="37">
        <f>_xlfn.VAR.S(D8:D12)</f>
        <v>2.5</v>
      </c>
    </row>
    <row r="24" spans="2:10" ht="20" customHeight="1">
      <c r="B24" s="33" t="s">
        <v>73</v>
      </c>
      <c r="C24" s="38">
        <f>AVERAGE(D13:D17)</f>
        <v>3</v>
      </c>
      <c r="D24" s="38">
        <f>_xlfn.VAR.P(D13:D17)</f>
        <v>2</v>
      </c>
      <c r="E24" s="38">
        <f>_xlfn.VAR.S(D13:D17)</f>
        <v>2.5</v>
      </c>
    </row>
    <row r="25" spans="2:10" ht="20" customHeight="1">
      <c r="B25" s="35" t="s">
        <v>77</v>
      </c>
      <c r="C25" s="37">
        <f>AVERAGE(D3:D17)</f>
        <v>4</v>
      </c>
      <c r="D25" s="37">
        <f>_xlfn.VAR.P(D3:D17)</f>
        <v>2.6666666666666665</v>
      </c>
      <c r="E25" s="37">
        <f>_xlfn.VAR.S(D3:D17)</f>
        <v>2.8571428571428572</v>
      </c>
    </row>
    <row r="26" spans="2:10" ht="20" customHeight="1">
      <c r="B26" s="35"/>
      <c r="C26" s="35"/>
      <c r="D26" s="35"/>
      <c r="E26" s="35"/>
    </row>
    <row r="28" spans="2:10" ht="20" customHeight="1">
      <c r="B28" s="8" t="s">
        <v>79</v>
      </c>
    </row>
    <row r="29" spans="2:10" ht="20" customHeight="1">
      <c r="B29" s="58"/>
      <c r="C29" s="58" t="s">
        <v>80</v>
      </c>
      <c r="D29" s="58" t="s">
        <v>16</v>
      </c>
      <c r="E29" s="58" t="s">
        <v>81</v>
      </c>
      <c r="F29" s="59" t="s">
        <v>82</v>
      </c>
      <c r="G29" s="59" t="s">
        <v>2</v>
      </c>
    </row>
    <row r="30" spans="2:10" ht="20" customHeight="1">
      <c r="B30" s="58" t="s">
        <v>83</v>
      </c>
      <c r="C30" s="61">
        <f>SUMSQ(H3:H17)</f>
        <v>10</v>
      </c>
      <c r="D30" s="62">
        <v>2</v>
      </c>
      <c r="E30" s="65">
        <f>C30/D30</f>
        <v>5</v>
      </c>
      <c r="F30" s="61">
        <f>E30/E31</f>
        <v>2</v>
      </c>
      <c r="G30" s="56">
        <f>_xlfn.F.DIST.RT(F30,D30,D31)</f>
        <v>0.17797851562500003</v>
      </c>
    </row>
    <row r="31" spans="2:10" ht="20" customHeight="1">
      <c r="B31" s="58" t="s">
        <v>84</v>
      </c>
      <c r="C31" s="61">
        <f>SUMSQ(J3:J17)</f>
        <v>30</v>
      </c>
      <c r="D31" s="63">
        <v>12</v>
      </c>
      <c r="E31" s="61">
        <f>C31/D31</f>
        <v>2.5</v>
      </c>
      <c r="F31" s="60"/>
    </row>
    <row r="32" spans="2:10" ht="20" customHeight="1">
      <c r="B32" s="58" t="s">
        <v>76</v>
      </c>
      <c r="C32" s="61">
        <f>_xlfn.VAR.P(D3:D17)*15</f>
        <v>40</v>
      </c>
      <c r="D32" s="64">
        <v>14</v>
      </c>
      <c r="E32" s="60"/>
      <c r="F32" s="60"/>
    </row>
    <row r="34" spans="2:2" ht="20" customHeight="1">
      <c r="B34" s="66" t="s">
        <v>89</v>
      </c>
    </row>
    <row r="35" spans="2:2" ht="20" customHeight="1">
      <c r="B35" s="53">
        <f>C30/(C30+C31)</f>
        <v>0.25</v>
      </c>
    </row>
  </sheetData>
  <phoneticPr fontId="2"/>
  <pageMargins left="0.7" right="0.7" top="0.75" bottom="0.75" header="0.3" footer="0.3"/>
  <ignoredErrors>
    <ignoredError sqref="C22:E24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F932A-60F4-454F-A112-263ABAF581B9}">
  <dimension ref="B2:J59"/>
  <sheetViews>
    <sheetView workbookViewId="0">
      <selection activeCell="I41" sqref="I41"/>
    </sheetView>
  </sheetViews>
  <sheetFormatPr baseColWidth="10" defaultRowHeight="20" customHeight="1"/>
  <cols>
    <col min="1" max="1" width="10.7109375" style="8"/>
    <col min="2" max="2" width="11.42578125" style="8" bestFit="1" customWidth="1"/>
    <col min="3" max="5" width="10.7109375" style="8"/>
    <col min="6" max="6" width="10.7109375" style="8" customWidth="1"/>
    <col min="7" max="16384" width="10.7109375" style="8"/>
  </cols>
  <sheetData>
    <row r="2" spans="2:10" ht="20" customHeight="1">
      <c r="B2" s="11" t="s">
        <v>12</v>
      </c>
      <c r="C2" s="11" t="s">
        <v>69</v>
      </c>
      <c r="D2" s="11" t="s">
        <v>70</v>
      </c>
      <c r="F2" s="8" t="s">
        <v>101</v>
      </c>
      <c r="H2" s="8" t="s">
        <v>102</v>
      </c>
      <c r="J2" s="8" t="s">
        <v>103</v>
      </c>
    </row>
    <row r="3" spans="2:10" ht="20" customHeight="1">
      <c r="B3" s="11">
        <v>1</v>
      </c>
      <c r="C3" s="11" t="s">
        <v>71</v>
      </c>
      <c r="D3" s="11">
        <v>3</v>
      </c>
      <c r="F3" s="12">
        <f>AVERAGE($D$3:$D$17)</f>
        <v>6.4</v>
      </c>
      <c r="H3" s="69">
        <f>$C$22-$C$25</f>
        <v>-1.8000000000000007</v>
      </c>
      <c r="J3" s="69">
        <f>D3-F3-H3</f>
        <v>-1.5999999999999996</v>
      </c>
    </row>
    <row r="4" spans="2:10" ht="20" customHeight="1">
      <c r="B4" s="11">
        <v>2</v>
      </c>
      <c r="C4" s="11" t="s">
        <v>71</v>
      </c>
      <c r="D4" s="11">
        <v>4</v>
      </c>
      <c r="F4" s="12">
        <f t="shared" ref="F4:F17" si="0">AVERAGE($D$3:$D$17)</f>
        <v>6.4</v>
      </c>
      <c r="H4" s="69">
        <f t="shared" ref="H4:H7" si="1">$C$22-$C$25</f>
        <v>-1.8000000000000007</v>
      </c>
      <c r="J4" s="69">
        <f t="shared" ref="J4:J17" si="2">D4-F4-H4</f>
        <v>-0.59999999999999964</v>
      </c>
    </row>
    <row r="5" spans="2:10" ht="20" customHeight="1">
      <c r="B5" s="11">
        <v>3</v>
      </c>
      <c r="C5" s="11" t="s">
        <v>71</v>
      </c>
      <c r="D5" s="11">
        <v>6</v>
      </c>
      <c r="E5" s="67" t="s">
        <v>94</v>
      </c>
      <c r="F5" s="12">
        <f t="shared" si="0"/>
        <v>6.4</v>
      </c>
      <c r="G5" s="67" t="s">
        <v>96</v>
      </c>
      <c r="H5" s="69">
        <f t="shared" si="1"/>
        <v>-1.8000000000000007</v>
      </c>
      <c r="I5" s="67" t="s">
        <v>96</v>
      </c>
      <c r="J5" s="69">
        <f t="shared" si="2"/>
        <v>1.4000000000000004</v>
      </c>
    </row>
    <row r="6" spans="2:10" ht="20" customHeight="1">
      <c r="B6" s="11">
        <v>4</v>
      </c>
      <c r="C6" s="11" t="s">
        <v>71</v>
      </c>
      <c r="D6" s="11">
        <v>5</v>
      </c>
      <c r="F6" s="12">
        <f t="shared" si="0"/>
        <v>6.4</v>
      </c>
      <c r="H6" s="69">
        <f t="shared" si="1"/>
        <v>-1.8000000000000007</v>
      </c>
      <c r="J6" s="69">
        <f t="shared" si="2"/>
        <v>0.40000000000000036</v>
      </c>
    </row>
    <row r="7" spans="2:10" ht="20" customHeight="1">
      <c r="B7" s="11">
        <v>5</v>
      </c>
      <c r="C7" s="11" t="s">
        <v>71</v>
      </c>
      <c r="D7" s="11">
        <v>5</v>
      </c>
      <c r="F7" s="12">
        <f t="shared" si="0"/>
        <v>6.4</v>
      </c>
      <c r="H7" s="69">
        <f t="shared" si="1"/>
        <v>-1.8000000000000007</v>
      </c>
      <c r="J7" s="69">
        <f t="shared" si="2"/>
        <v>0.40000000000000036</v>
      </c>
    </row>
    <row r="8" spans="2:10" ht="20" customHeight="1">
      <c r="B8" s="11">
        <v>6</v>
      </c>
      <c r="C8" s="11" t="s">
        <v>72</v>
      </c>
      <c r="D8" s="11">
        <v>6</v>
      </c>
      <c r="F8" s="12">
        <f t="shared" si="0"/>
        <v>6.4</v>
      </c>
      <c r="H8" s="69">
        <f>$C$23-$C$25</f>
        <v>1.1999999999999993</v>
      </c>
      <c r="J8" s="69">
        <f t="shared" si="2"/>
        <v>-1.5999999999999996</v>
      </c>
    </row>
    <row r="9" spans="2:10" ht="20" customHeight="1">
      <c r="B9" s="11">
        <v>7</v>
      </c>
      <c r="C9" s="11" t="s">
        <v>72</v>
      </c>
      <c r="D9" s="11">
        <v>10</v>
      </c>
      <c r="F9" s="12">
        <f t="shared" si="0"/>
        <v>6.4</v>
      </c>
      <c r="H9" s="69">
        <f t="shared" ref="H9:H12" si="3">$C$23-$C$25</f>
        <v>1.1999999999999993</v>
      </c>
      <c r="J9" s="69">
        <f t="shared" si="2"/>
        <v>2.4000000000000004</v>
      </c>
    </row>
    <row r="10" spans="2:10" ht="20" customHeight="1">
      <c r="B10" s="11">
        <v>8</v>
      </c>
      <c r="C10" s="11" t="s">
        <v>72</v>
      </c>
      <c r="D10" s="11">
        <v>7</v>
      </c>
      <c r="F10" s="12">
        <f t="shared" si="0"/>
        <v>6.4</v>
      </c>
      <c r="H10" s="69">
        <f t="shared" si="3"/>
        <v>1.1999999999999993</v>
      </c>
      <c r="J10" s="69">
        <f t="shared" si="2"/>
        <v>-0.59999999999999964</v>
      </c>
    </row>
    <row r="11" spans="2:10" ht="20" customHeight="1">
      <c r="B11" s="11">
        <v>9</v>
      </c>
      <c r="C11" s="11" t="s">
        <v>72</v>
      </c>
      <c r="D11" s="11">
        <v>9</v>
      </c>
      <c r="F11" s="12">
        <f t="shared" si="0"/>
        <v>6.4</v>
      </c>
      <c r="H11" s="69">
        <f t="shared" si="3"/>
        <v>1.1999999999999993</v>
      </c>
      <c r="J11" s="69">
        <f t="shared" si="2"/>
        <v>1.4000000000000004</v>
      </c>
    </row>
    <row r="12" spans="2:10" ht="20" customHeight="1">
      <c r="B12" s="11">
        <v>10</v>
      </c>
      <c r="C12" s="11" t="s">
        <v>72</v>
      </c>
      <c r="D12" s="11">
        <v>6</v>
      </c>
      <c r="F12" s="12">
        <f t="shared" si="0"/>
        <v>6.4</v>
      </c>
      <c r="H12" s="69">
        <f t="shared" si="3"/>
        <v>1.1999999999999993</v>
      </c>
      <c r="J12" s="69">
        <f t="shared" si="2"/>
        <v>-1.5999999999999996</v>
      </c>
    </row>
    <row r="13" spans="2:10" ht="20" customHeight="1">
      <c r="B13" s="11">
        <v>11</v>
      </c>
      <c r="C13" s="11" t="s">
        <v>73</v>
      </c>
      <c r="D13" s="11">
        <v>8</v>
      </c>
      <c r="F13" s="12">
        <f t="shared" si="0"/>
        <v>6.4</v>
      </c>
      <c r="H13" s="69">
        <f>$C$24-$C$25</f>
        <v>0.59999999999999964</v>
      </c>
      <c r="J13" s="69">
        <f t="shared" si="2"/>
        <v>1</v>
      </c>
    </row>
    <row r="14" spans="2:10" ht="20" customHeight="1">
      <c r="B14" s="11">
        <v>12</v>
      </c>
      <c r="C14" s="11" t="s">
        <v>73</v>
      </c>
      <c r="D14" s="11">
        <v>6</v>
      </c>
      <c r="F14" s="12">
        <f t="shared" si="0"/>
        <v>6.4</v>
      </c>
      <c r="H14" s="69">
        <f t="shared" ref="H14:H17" si="4">$C$24-$C$25</f>
        <v>0.59999999999999964</v>
      </c>
      <c r="J14" s="69">
        <f t="shared" si="2"/>
        <v>-1</v>
      </c>
    </row>
    <row r="15" spans="2:10" ht="20" customHeight="1">
      <c r="B15" s="11">
        <v>13</v>
      </c>
      <c r="C15" s="11" t="s">
        <v>73</v>
      </c>
      <c r="D15" s="11">
        <v>7</v>
      </c>
      <c r="F15" s="12">
        <f t="shared" si="0"/>
        <v>6.4</v>
      </c>
      <c r="H15" s="69">
        <f t="shared" si="4"/>
        <v>0.59999999999999964</v>
      </c>
      <c r="J15" s="69">
        <f t="shared" si="2"/>
        <v>0</v>
      </c>
    </row>
    <row r="16" spans="2:10" ht="20" customHeight="1">
      <c r="B16" s="11">
        <v>14</v>
      </c>
      <c r="C16" s="11" t="s">
        <v>73</v>
      </c>
      <c r="D16" s="11">
        <v>8</v>
      </c>
      <c r="F16" s="12">
        <f t="shared" si="0"/>
        <v>6.4</v>
      </c>
      <c r="H16" s="69">
        <f t="shared" si="4"/>
        <v>0.59999999999999964</v>
      </c>
      <c r="J16" s="69">
        <f t="shared" si="2"/>
        <v>1</v>
      </c>
    </row>
    <row r="17" spans="2:10" ht="20" customHeight="1">
      <c r="B17" s="11">
        <v>15</v>
      </c>
      <c r="C17" s="11" t="s">
        <v>73</v>
      </c>
      <c r="D17" s="11">
        <v>6</v>
      </c>
      <c r="F17" s="12">
        <f t="shared" si="0"/>
        <v>6.4</v>
      </c>
      <c r="H17" s="69">
        <f t="shared" si="4"/>
        <v>0.59999999999999964</v>
      </c>
      <c r="J17" s="69">
        <f t="shared" si="2"/>
        <v>-1</v>
      </c>
    </row>
    <row r="20" spans="2:10" ht="20" customHeight="1">
      <c r="B20" s="33" t="s">
        <v>49</v>
      </c>
      <c r="C20" s="33"/>
      <c r="D20" s="33"/>
      <c r="E20" s="33"/>
    </row>
    <row r="21" spans="2:10" ht="20" customHeight="1">
      <c r="B21" s="34"/>
      <c r="C21" s="33" t="s">
        <v>50</v>
      </c>
      <c r="D21" s="33" t="s">
        <v>51</v>
      </c>
      <c r="E21" s="33" t="s">
        <v>78</v>
      </c>
    </row>
    <row r="22" spans="2:10" ht="20" customHeight="1">
      <c r="B22" s="35" t="s">
        <v>74</v>
      </c>
      <c r="C22" s="37">
        <f>AVERAGE(D3:D7)</f>
        <v>4.5999999999999996</v>
      </c>
      <c r="D22" s="37">
        <f>_xlfn.VAR.P(D3:D7)</f>
        <v>1.04</v>
      </c>
      <c r="E22" s="37">
        <f>_xlfn.VAR.S(D3:D7)</f>
        <v>1.3000000000000007</v>
      </c>
    </row>
    <row r="23" spans="2:10" ht="20" customHeight="1">
      <c r="B23" s="35" t="s">
        <v>75</v>
      </c>
      <c r="C23" s="37">
        <f>AVERAGE(D8:D12)</f>
        <v>7.6</v>
      </c>
      <c r="D23" s="37">
        <f>_xlfn.VAR.P(D8:D12)</f>
        <v>2.64</v>
      </c>
      <c r="E23" s="37">
        <f>_xlfn.VAR.S(D8:D12)</f>
        <v>3.2999999999999972</v>
      </c>
    </row>
    <row r="24" spans="2:10" ht="20" customHeight="1">
      <c r="B24" s="33" t="s">
        <v>73</v>
      </c>
      <c r="C24" s="38">
        <f>AVERAGE(D13:D17)</f>
        <v>7</v>
      </c>
      <c r="D24" s="38">
        <f>_xlfn.VAR.P(D13:D17)</f>
        <v>0.8</v>
      </c>
      <c r="E24" s="38">
        <f>_xlfn.VAR.S(D13:D17)</f>
        <v>1</v>
      </c>
    </row>
    <row r="25" spans="2:10" ht="20" customHeight="1">
      <c r="B25" s="35" t="s">
        <v>77</v>
      </c>
      <c r="C25" s="37">
        <f>AVERAGE(D3:D17)</f>
        <v>6.4</v>
      </c>
      <c r="D25" s="37">
        <f>_xlfn.VAR.P(D3:D17)</f>
        <v>3.1733333333333333</v>
      </c>
      <c r="E25" s="37">
        <f>_xlfn.VAR.S(D3:D17)</f>
        <v>3.4000000000000017</v>
      </c>
    </row>
    <row r="26" spans="2:10" ht="20" customHeight="1">
      <c r="B26" s="35"/>
      <c r="C26" s="35"/>
      <c r="D26" s="35"/>
      <c r="E26" s="35"/>
    </row>
    <row r="28" spans="2:10" ht="20" customHeight="1">
      <c r="B28" s="8" t="s">
        <v>79</v>
      </c>
    </row>
    <row r="29" spans="2:10" ht="20" customHeight="1">
      <c r="B29" s="58"/>
      <c r="C29" s="58" t="s">
        <v>80</v>
      </c>
      <c r="D29" s="58" t="s">
        <v>16</v>
      </c>
      <c r="E29" s="58" t="s">
        <v>81</v>
      </c>
      <c r="F29" s="59" t="s">
        <v>82</v>
      </c>
      <c r="G29" s="59" t="s">
        <v>2</v>
      </c>
    </row>
    <row r="30" spans="2:10" ht="20" customHeight="1">
      <c r="B30" s="58" t="s">
        <v>83</v>
      </c>
      <c r="C30" s="61">
        <f>SUMSQ(H3:H17)</f>
        <v>25.2</v>
      </c>
      <c r="D30" s="62">
        <v>2</v>
      </c>
      <c r="E30" s="65">
        <f>C30/D30</f>
        <v>12.6</v>
      </c>
      <c r="F30" s="61">
        <f>E30/E31</f>
        <v>6.7500000000000009</v>
      </c>
      <c r="G30" s="56">
        <f>_xlfn.F.DIST.RT(F30,D30,D31)</f>
        <v>1.0860414319271332E-2</v>
      </c>
    </row>
    <row r="31" spans="2:10" ht="20" customHeight="1">
      <c r="B31" s="58" t="s">
        <v>84</v>
      </c>
      <c r="C31" s="61">
        <f>SUMSQ(J3:J17)</f>
        <v>22.4</v>
      </c>
      <c r="D31" s="63">
        <v>12</v>
      </c>
      <c r="E31" s="61">
        <f>C31/D31</f>
        <v>1.8666666666666665</v>
      </c>
      <c r="F31" s="60"/>
    </row>
    <row r="32" spans="2:10" ht="20" customHeight="1">
      <c r="B32" s="58" t="s">
        <v>76</v>
      </c>
      <c r="C32" s="61">
        <f>_xlfn.VAR.P(D3:D17)*15</f>
        <v>47.6</v>
      </c>
      <c r="D32" s="64">
        <v>14</v>
      </c>
      <c r="E32" s="60"/>
      <c r="F32" s="60"/>
    </row>
    <row r="34" spans="2:3" ht="20" customHeight="1">
      <c r="B34" s="66" t="s">
        <v>89</v>
      </c>
    </row>
    <row r="35" spans="2:3" ht="20" customHeight="1">
      <c r="B35" s="53">
        <f>C30/(C30+C31)</f>
        <v>0.52941176470588236</v>
      </c>
    </row>
    <row r="37" spans="2:3" ht="20" customHeight="1">
      <c r="B37" s="8" t="s">
        <v>85</v>
      </c>
    </row>
    <row r="38" spans="2:3" ht="20" customHeight="1">
      <c r="B38" s="53">
        <f>((5*D22)+(5*D23)+(5*D24))/(4+4+4)</f>
        <v>1.8666666666666669</v>
      </c>
    </row>
    <row r="40" spans="2:3" ht="20" customHeight="1">
      <c r="B40" s="8" t="s">
        <v>86</v>
      </c>
    </row>
    <row r="41" spans="2:3" ht="20" customHeight="1">
      <c r="C41" s="35" t="s">
        <v>54</v>
      </c>
    </row>
    <row r="42" spans="2:3" ht="20" customHeight="1">
      <c r="C42" s="39">
        <f>(C22-C23)/SQRT(B38*((1/5)+(1/5)))</f>
        <v>-3.4718253741470675</v>
      </c>
    </row>
    <row r="44" spans="2:3" ht="20" customHeight="1">
      <c r="C44" s="8" t="s">
        <v>45</v>
      </c>
    </row>
    <row r="45" spans="2:3" ht="20" customHeight="1">
      <c r="C45" s="55">
        <f>_xlfn.T.DIST.2T(ABS(C42),12)</f>
        <v>4.6153993970432334E-3</v>
      </c>
    </row>
    <row r="47" spans="2:3" ht="20" customHeight="1">
      <c r="B47" s="8" t="s">
        <v>87</v>
      </c>
    </row>
    <row r="48" spans="2:3" ht="20" customHeight="1">
      <c r="C48" s="35" t="s">
        <v>54</v>
      </c>
    </row>
    <row r="49" spans="2:3" ht="20" customHeight="1">
      <c r="C49" s="39">
        <f>(C23-C24)/SQRT(B38*((1/5)+(1/5)))</f>
        <v>0.69436507482941312</v>
      </c>
    </row>
    <row r="51" spans="2:3" ht="20" customHeight="1">
      <c r="C51" s="8" t="s">
        <v>45</v>
      </c>
    </row>
    <row r="52" spans="2:3" ht="20" customHeight="1">
      <c r="C52" s="56">
        <f>_xlfn.T.DIST.2T(ABS(C49),12)</f>
        <v>0.50067590577422127</v>
      </c>
    </row>
    <row r="54" spans="2:3" ht="20" customHeight="1">
      <c r="B54" s="8" t="s">
        <v>88</v>
      </c>
    </row>
    <row r="55" spans="2:3" ht="20" customHeight="1">
      <c r="C55" s="35" t="s">
        <v>54</v>
      </c>
    </row>
    <row r="56" spans="2:3" ht="20" customHeight="1">
      <c r="C56" s="39">
        <f>(C22-C24)/SQRT(B38*((1/5)+(1/5)))</f>
        <v>-2.7774602993176547</v>
      </c>
    </row>
    <row r="58" spans="2:3" ht="20" customHeight="1">
      <c r="C58" s="8" t="s">
        <v>45</v>
      </c>
    </row>
    <row r="59" spans="2:3" ht="20" customHeight="1">
      <c r="C59" s="56">
        <f>_xlfn.T.DIST.2T(ABS(C56),12)</f>
        <v>1.6728969069337185E-2</v>
      </c>
    </row>
  </sheetData>
  <phoneticPr fontId="2"/>
  <pageMargins left="0.7" right="0.7" top="0.75" bottom="0.75" header="0.3" footer="0.3"/>
  <ignoredErrors>
    <ignoredError sqref="C22:E24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8E617-85DA-F541-8425-637945B92947}">
  <dimension ref="B2:U26"/>
  <sheetViews>
    <sheetView zoomScaleNormal="100" workbookViewId="0">
      <selection activeCell="K26" sqref="K26"/>
    </sheetView>
  </sheetViews>
  <sheetFormatPr baseColWidth="10" defaultRowHeight="20" customHeight="1"/>
  <cols>
    <col min="1" max="5" width="10.7109375" style="8"/>
    <col min="6" max="6" width="10.7109375" style="8" customWidth="1"/>
    <col min="7" max="16384" width="10.7109375" style="8"/>
  </cols>
  <sheetData>
    <row r="2" spans="2:21" ht="20" customHeight="1">
      <c r="B2" s="11" t="s">
        <v>12</v>
      </c>
      <c r="C2" s="11" t="s">
        <v>90</v>
      </c>
      <c r="D2" s="11" t="s">
        <v>91</v>
      </c>
      <c r="E2" s="11" t="s">
        <v>92</v>
      </c>
      <c r="G2" s="8" t="s">
        <v>95</v>
      </c>
      <c r="K2" s="8" t="s">
        <v>97</v>
      </c>
      <c r="O2" s="8" t="s">
        <v>98</v>
      </c>
      <c r="S2" s="8" t="s">
        <v>99</v>
      </c>
    </row>
    <row r="3" spans="2:21" ht="20" customHeight="1">
      <c r="B3" s="11">
        <v>1</v>
      </c>
      <c r="C3" s="11">
        <v>3</v>
      </c>
      <c r="D3" s="11">
        <v>2</v>
      </c>
      <c r="E3" s="11">
        <v>1</v>
      </c>
      <c r="G3" s="11">
        <f>AVERAGE($C$3:$E$7)</f>
        <v>4</v>
      </c>
      <c r="H3" s="11">
        <f t="shared" ref="H3:I7" si="0">AVERAGE($C$3:$E$7)</f>
        <v>4</v>
      </c>
      <c r="I3" s="11">
        <f t="shared" si="0"/>
        <v>4</v>
      </c>
      <c r="K3" s="69">
        <f>$C$12-$C$15</f>
        <v>1</v>
      </c>
      <c r="L3" s="69">
        <f>$C$13-$C$15</f>
        <v>0</v>
      </c>
      <c r="M3" s="69">
        <f>$C$14-$C$15</f>
        <v>-1</v>
      </c>
      <c r="O3" s="69">
        <f>$G12-$C$15</f>
        <v>-2</v>
      </c>
      <c r="P3" s="69">
        <f>$G12-$C$15</f>
        <v>-2</v>
      </c>
      <c r="Q3" s="69">
        <f>$G12-$C$15</f>
        <v>-2</v>
      </c>
      <c r="S3" s="69">
        <f>C3-G3-K3-O3</f>
        <v>0</v>
      </c>
      <c r="T3" s="69">
        <f t="shared" ref="T3:T7" si="1">D3-H3-L3-P3</f>
        <v>0</v>
      </c>
      <c r="U3" s="69">
        <f t="shared" ref="U3:U7" si="2">E3-I3-M3-Q3</f>
        <v>0</v>
      </c>
    </row>
    <row r="4" spans="2:21" ht="20" customHeight="1">
      <c r="B4" s="11">
        <v>2</v>
      </c>
      <c r="C4" s="11">
        <v>4</v>
      </c>
      <c r="D4" s="11">
        <v>3</v>
      </c>
      <c r="E4" s="11">
        <v>4</v>
      </c>
      <c r="F4" s="67" t="s">
        <v>94</v>
      </c>
      <c r="G4" s="11">
        <f t="shared" ref="G4:G7" si="3">AVERAGE($C$3:$E$7)</f>
        <v>4</v>
      </c>
      <c r="H4" s="11">
        <f t="shared" si="0"/>
        <v>4</v>
      </c>
      <c r="I4" s="11">
        <f t="shared" si="0"/>
        <v>4</v>
      </c>
      <c r="J4" s="67" t="s">
        <v>96</v>
      </c>
      <c r="K4" s="69">
        <f t="shared" ref="K4:K7" si="4">$C$12-$C$15</f>
        <v>1</v>
      </c>
      <c r="L4" s="69">
        <f t="shared" ref="L4:L7" si="5">$C$13-$C$15</f>
        <v>0</v>
      </c>
      <c r="M4" s="69">
        <f t="shared" ref="M4:M7" si="6">$C$14-$C$15</f>
        <v>-1</v>
      </c>
      <c r="N4" s="67" t="s">
        <v>96</v>
      </c>
      <c r="O4" s="69">
        <f t="shared" ref="O4:Q4" si="7">$G13-$C$15</f>
        <v>-0.33333333333333348</v>
      </c>
      <c r="P4" s="69">
        <f t="shared" si="7"/>
        <v>-0.33333333333333348</v>
      </c>
      <c r="Q4" s="69">
        <f t="shared" si="7"/>
        <v>-0.33333333333333348</v>
      </c>
      <c r="R4" s="67" t="s">
        <v>96</v>
      </c>
      <c r="S4" s="69">
        <f t="shared" ref="S4:S7" si="8">C4-G4-K4-O4</f>
        <v>-0.66666666666666652</v>
      </c>
      <c r="T4" s="69">
        <f t="shared" si="1"/>
        <v>-0.66666666666666652</v>
      </c>
      <c r="U4" s="69">
        <f t="shared" si="2"/>
        <v>1.3333333333333335</v>
      </c>
    </row>
    <row r="5" spans="2:21" ht="20" customHeight="1">
      <c r="B5" s="11">
        <v>3</v>
      </c>
      <c r="C5" s="11">
        <v>5</v>
      </c>
      <c r="D5" s="11">
        <v>4</v>
      </c>
      <c r="E5" s="11">
        <v>3</v>
      </c>
      <c r="G5" s="11">
        <f t="shared" si="3"/>
        <v>4</v>
      </c>
      <c r="H5" s="11">
        <f t="shared" si="0"/>
        <v>4</v>
      </c>
      <c r="I5" s="11">
        <f t="shared" si="0"/>
        <v>4</v>
      </c>
      <c r="K5" s="69">
        <f t="shared" si="4"/>
        <v>1</v>
      </c>
      <c r="L5" s="69">
        <f t="shared" si="5"/>
        <v>0</v>
      </c>
      <c r="M5" s="69">
        <f t="shared" si="6"/>
        <v>-1</v>
      </c>
      <c r="O5" s="69">
        <f t="shared" ref="O5:Q5" si="9">$G14-$C$15</f>
        <v>0</v>
      </c>
      <c r="P5" s="69">
        <f t="shared" si="9"/>
        <v>0</v>
      </c>
      <c r="Q5" s="69">
        <f t="shared" si="9"/>
        <v>0</v>
      </c>
      <c r="S5" s="69">
        <f t="shared" si="8"/>
        <v>0</v>
      </c>
      <c r="T5" s="69">
        <f t="shared" si="1"/>
        <v>0</v>
      </c>
      <c r="U5" s="69">
        <f t="shared" si="2"/>
        <v>0</v>
      </c>
    </row>
    <row r="6" spans="2:21" ht="20" customHeight="1">
      <c r="B6" s="11">
        <v>4</v>
      </c>
      <c r="C6" s="11">
        <v>6</v>
      </c>
      <c r="D6" s="11">
        <v>5</v>
      </c>
      <c r="E6" s="11">
        <v>5</v>
      </c>
      <c r="G6" s="11">
        <f t="shared" si="3"/>
        <v>4</v>
      </c>
      <c r="H6" s="11">
        <f t="shared" si="0"/>
        <v>4</v>
      </c>
      <c r="I6" s="11">
        <f t="shared" si="0"/>
        <v>4</v>
      </c>
      <c r="K6" s="69">
        <f t="shared" si="4"/>
        <v>1</v>
      </c>
      <c r="L6" s="69">
        <f t="shared" si="5"/>
        <v>0</v>
      </c>
      <c r="M6" s="69">
        <f t="shared" si="6"/>
        <v>-1</v>
      </c>
      <c r="O6" s="69">
        <f t="shared" ref="O6:Q6" si="10">$G15-$C$15</f>
        <v>1.333333333333333</v>
      </c>
      <c r="P6" s="69">
        <f t="shared" si="10"/>
        <v>1.333333333333333</v>
      </c>
      <c r="Q6" s="69">
        <f t="shared" si="10"/>
        <v>1.333333333333333</v>
      </c>
      <c r="S6" s="69">
        <f t="shared" si="8"/>
        <v>-0.33333333333333304</v>
      </c>
      <c r="T6" s="69">
        <f t="shared" si="1"/>
        <v>-0.33333333333333304</v>
      </c>
      <c r="U6" s="69">
        <f t="shared" si="2"/>
        <v>0.66666666666666696</v>
      </c>
    </row>
    <row r="7" spans="2:21" ht="20" customHeight="1">
      <c r="B7" s="11">
        <v>5</v>
      </c>
      <c r="C7" s="11">
        <v>7</v>
      </c>
      <c r="D7" s="11">
        <v>6</v>
      </c>
      <c r="E7" s="11">
        <v>2</v>
      </c>
      <c r="G7" s="11">
        <f t="shared" si="3"/>
        <v>4</v>
      </c>
      <c r="H7" s="11">
        <f t="shared" si="0"/>
        <v>4</v>
      </c>
      <c r="I7" s="11">
        <f t="shared" si="0"/>
        <v>4</v>
      </c>
      <c r="K7" s="69">
        <f t="shared" si="4"/>
        <v>1</v>
      </c>
      <c r="L7" s="69">
        <f t="shared" si="5"/>
        <v>0</v>
      </c>
      <c r="M7" s="69">
        <f t="shared" si="6"/>
        <v>-1</v>
      </c>
      <c r="O7" s="69">
        <f t="shared" ref="O7:Q7" si="11">$G16-$C$15</f>
        <v>1</v>
      </c>
      <c r="P7" s="69">
        <f t="shared" si="11"/>
        <v>1</v>
      </c>
      <c r="Q7" s="69">
        <f t="shared" si="11"/>
        <v>1</v>
      </c>
      <c r="S7" s="69">
        <f t="shared" si="8"/>
        <v>1</v>
      </c>
      <c r="T7" s="69">
        <f t="shared" si="1"/>
        <v>1</v>
      </c>
      <c r="U7" s="69">
        <f t="shared" si="2"/>
        <v>-2</v>
      </c>
    </row>
    <row r="10" spans="2:21" ht="20" customHeight="1">
      <c r="B10" s="33" t="s">
        <v>49</v>
      </c>
      <c r="C10" s="33"/>
      <c r="D10" s="33"/>
      <c r="E10" s="35"/>
    </row>
    <row r="11" spans="2:21" ht="20" customHeight="1">
      <c r="B11" s="34"/>
      <c r="C11" s="33" t="s">
        <v>50</v>
      </c>
      <c r="D11" s="33" t="s">
        <v>51</v>
      </c>
      <c r="F11" s="68" t="s">
        <v>12</v>
      </c>
      <c r="G11" s="68" t="s">
        <v>93</v>
      </c>
    </row>
    <row r="12" spans="2:21" ht="20" customHeight="1">
      <c r="B12" s="35" t="s">
        <v>74</v>
      </c>
      <c r="C12" s="37">
        <f>AVERAGE(C3:C7)</f>
        <v>5</v>
      </c>
      <c r="D12" s="37">
        <f>_xlfn.VAR.P(C3:C7)</f>
        <v>2</v>
      </c>
      <c r="F12" s="8">
        <v>1</v>
      </c>
      <c r="G12" s="51">
        <f>AVERAGE(C3:E3)</f>
        <v>2</v>
      </c>
    </row>
    <row r="13" spans="2:21" ht="20" customHeight="1">
      <c r="B13" s="35" t="s">
        <v>75</v>
      </c>
      <c r="C13" s="37">
        <f>AVERAGE(D3:D7)</f>
        <v>4</v>
      </c>
      <c r="D13" s="37">
        <f>_xlfn.VAR.P(D3:D7)</f>
        <v>2</v>
      </c>
      <c r="F13" s="8">
        <v>2</v>
      </c>
      <c r="G13" s="51">
        <f t="shared" ref="G13:G16" si="12">AVERAGE(C4:E4)</f>
        <v>3.6666666666666665</v>
      </c>
    </row>
    <row r="14" spans="2:21" ht="20" customHeight="1">
      <c r="B14" s="33" t="s">
        <v>73</v>
      </c>
      <c r="C14" s="38">
        <f>AVERAGE(E3:E7)</f>
        <v>3</v>
      </c>
      <c r="D14" s="38">
        <f>_xlfn.VAR.P(E3:E7)</f>
        <v>2</v>
      </c>
      <c r="F14" s="8">
        <v>3</v>
      </c>
      <c r="G14" s="51">
        <f t="shared" si="12"/>
        <v>4</v>
      </c>
    </row>
    <row r="15" spans="2:21" ht="20" customHeight="1">
      <c r="B15" s="35" t="s">
        <v>77</v>
      </c>
      <c r="C15" s="37">
        <f>AVERAGE(C3:E7)</f>
        <v>4</v>
      </c>
      <c r="D15" s="37">
        <f>_xlfn.VAR.P(C3:E7)</f>
        <v>2.6666666666666665</v>
      </c>
      <c r="F15" s="8">
        <v>4</v>
      </c>
      <c r="G15" s="51">
        <f t="shared" si="12"/>
        <v>5.333333333333333</v>
      </c>
    </row>
    <row r="16" spans="2:21" ht="20" customHeight="1">
      <c r="B16" s="35"/>
      <c r="C16" s="35"/>
      <c r="D16" s="35"/>
      <c r="E16" s="35"/>
      <c r="F16" s="30">
        <v>5</v>
      </c>
      <c r="G16" s="52">
        <f t="shared" si="12"/>
        <v>5</v>
      </c>
    </row>
    <row r="18" spans="2:7" ht="20" customHeight="1">
      <c r="B18" s="8" t="s">
        <v>79</v>
      </c>
    </row>
    <row r="19" spans="2:7" ht="20" customHeight="1">
      <c r="B19" s="58"/>
      <c r="C19" s="58" t="s">
        <v>80</v>
      </c>
      <c r="D19" s="58" t="s">
        <v>16</v>
      </c>
      <c r="E19" s="58" t="s">
        <v>81</v>
      </c>
      <c r="F19" s="59" t="s">
        <v>82</v>
      </c>
      <c r="G19" s="59" t="s">
        <v>2</v>
      </c>
    </row>
    <row r="20" spans="2:7" ht="20" customHeight="1">
      <c r="B20" s="58" t="s">
        <v>83</v>
      </c>
      <c r="C20" s="61">
        <f>SUMSQ(K3:M7)</f>
        <v>10</v>
      </c>
      <c r="D20" s="62">
        <v>2</v>
      </c>
      <c r="E20" s="65">
        <f>C20/D20</f>
        <v>5</v>
      </c>
      <c r="F20" s="61">
        <f>E20/E22</f>
        <v>4.2857142857142865</v>
      </c>
      <c r="G20" s="15">
        <f>_xlfn.F.DIST.RT(F20,D20,D22)</f>
        <v>5.4315045929411346E-2</v>
      </c>
    </row>
    <row r="21" spans="2:7" ht="20" customHeight="1">
      <c r="B21" s="58" t="s">
        <v>100</v>
      </c>
      <c r="C21" s="61">
        <f>SUMSQ(O3:Q7)</f>
        <v>20.666666666666664</v>
      </c>
      <c r="D21" s="70">
        <v>4</v>
      </c>
      <c r="E21" s="65">
        <f>C21/D21</f>
        <v>5.1666666666666661</v>
      </c>
      <c r="F21" s="71"/>
      <c r="G21" s="72"/>
    </row>
    <row r="22" spans="2:7" ht="20" customHeight="1">
      <c r="B22" s="58" t="s">
        <v>84</v>
      </c>
      <c r="C22" s="61">
        <f>SUMSQ(S3:U7)</f>
        <v>9.3333333333333321</v>
      </c>
      <c r="D22" s="63">
        <v>8</v>
      </c>
      <c r="E22" s="61">
        <f>C22/D22</f>
        <v>1.1666666666666665</v>
      </c>
      <c r="F22" s="60"/>
    </row>
    <row r="23" spans="2:7" ht="20" customHeight="1">
      <c r="B23" s="58" t="s">
        <v>76</v>
      </c>
      <c r="C23" s="61">
        <f>_xlfn.VAR.P(D3:D7)*15</f>
        <v>30</v>
      </c>
      <c r="D23" s="64">
        <v>14</v>
      </c>
      <c r="E23" s="60"/>
      <c r="F23" s="60"/>
    </row>
    <row r="25" spans="2:7" ht="20" customHeight="1">
      <c r="B25" s="66" t="s">
        <v>89</v>
      </c>
    </row>
    <row r="26" spans="2:7" ht="20" customHeight="1">
      <c r="B26" s="53">
        <f>C20/(C20+C22)</f>
        <v>0.51724137931034486</v>
      </c>
    </row>
  </sheetData>
  <phoneticPr fontId="2"/>
  <pageMargins left="0.7" right="0.7" top="0.75" bottom="0.75" header="0.3" footer="0.3"/>
  <ignoredErrors>
    <ignoredError sqref="G12:G1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p.116-信頼区間</vt:lpstr>
      <vt:lpstr>p.130-正確二項検定</vt:lpstr>
      <vt:lpstr>p.152-対応のない２つの比率の差の検定</vt:lpstr>
      <vt:lpstr>p.162-対応のある２つの比率の差の検定</vt:lpstr>
      <vt:lpstr>p.170-対応のない２つの平均値の差の検定</vt:lpstr>
      <vt:lpstr>p.178-対応のある２つの平均値の差の検定</vt:lpstr>
      <vt:lpstr>p.188-１要因参加者間計画</vt:lpstr>
      <vt:lpstr>p.202-多重比較</vt:lpstr>
      <vt:lpstr>p.212-１要因参加者内計画</vt:lpstr>
      <vt:lpstr>p.212-２要因参加者間計画</vt:lpstr>
      <vt:lpstr>p.250-相関係数の検定</vt:lpstr>
      <vt:lpstr>p.253-単回帰分析の回帰係数の検定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sawayama</dc:creator>
  <cp:lastModifiedBy>澤山　郁夫</cp:lastModifiedBy>
  <dcterms:created xsi:type="dcterms:W3CDTF">2025-04-01T03:16:02Z</dcterms:created>
  <dcterms:modified xsi:type="dcterms:W3CDTF">2025-04-23T23:39:35Z</dcterms:modified>
</cp:coreProperties>
</file>